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STUDENT COMPLETE\CHAPTER  1 DATA\Excel Week 1\STUDENTS\"/>
    </mc:Choice>
  </mc:AlternateContent>
  <bookViews>
    <workbookView xWindow="1320" yWindow="0" windowWidth="13125" windowHeight="8415" activeTab="11"/>
  </bookViews>
  <sheets>
    <sheet name="TOC" sheetId="5" r:id="rId1"/>
    <sheet name="1" sheetId="1" r:id="rId2"/>
    <sheet name="2" sheetId="6" r:id="rId3"/>
    <sheet name="3" sheetId="4" r:id="rId4"/>
    <sheet name="4" sheetId="3" r:id="rId5"/>
    <sheet name="5" sheetId="7" r:id="rId6"/>
    <sheet name="6" sheetId="8" r:id="rId7"/>
    <sheet name="7" sheetId="10" r:id="rId8"/>
    <sheet name="8" sheetId="12" r:id="rId9"/>
    <sheet name="9" sheetId="11" r:id="rId10"/>
    <sheet name="10" sheetId="9" r:id="rId11"/>
    <sheet name="11" sheetId="15" r:id="rId12"/>
    <sheet name="11S" sheetId="17" state="hidden" r:id="rId13"/>
    <sheet name="12" sheetId="19" r:id="rId14"/>
    <sheet name="13" sheetId="21" state="hidden" r:id="rId15"/>
    <sheet name="14" sheetId="22" state="hidden" r:id="rId16"/>
    <sheet name="15" sheetId="24" state="hidden" r:id="rId17"/>
    <sheet name="16" sheetId="23" state="hidden" r:id="rId18"/>
    <sheet name="17" sheetId="25" state="hidden" r:id="rId19"/>
    <sheet name="18" sheetId="26" state="hidden" r:id="rId20"/>
    <sheet name="19" sheetId="27" state="hidden" r:id="rId21"/>
    <sheet name="20" sheetId="28" state="hidden" r:id="rId22"/>
    <sheet name="21" sheetId="29" state="hidden" r:id="rId23"/>
  </sheets>
  <definedNames>
    <definedName name="_xlnm._FilterDatabase" localSheetId="11" hidden="1">'11'!$A$1:$N$744</definedName>
    <definedName name="_xlnm._FilterDatabase" localSheetId="13" hidden="1">'12'!$A$3:$G$912</definedName>
    <definedName name="_xlnm._FilterDatabase" localSheetId="15" hidden="1">'14'!$A$1:$L$742</definedName>
    <definedName name="_xlnm._FilterDatabase" localSheetId="19" hidden="1">'18'!#REF!</definedName>
    <definedName name="_xlnm._FilterDatabase" localSheetId="5" hidden="1">'5'!$A$1:$O$742</definedName>
    <definedName name="_xlnm._FilterDatabase" localSheetId="7" hidden="1">'7'!$A$2:$O$743</definedName>
    <definedName name="ee" localSheetId="10" hidden="1">{"FirstQ",#N/A,FALSE,"Budget2000";"SecondQ",#N/A,FALSE,"Budget2000";"Summary",#N/A,FALSE,"Budget2000"}</definedName>
    <definedName name="ee" localSheetId="11" hidden="1">{"FirstQ",#N/A,FALSE,"Budget2000";"SecondQ",#N/A,FALSE,"Budget2000";"Summary",#N/A,FALSE,"Budget2000"}</definedName>
    <definedName name="ee" localSheetId="13" hidden="1">{"FirstQ",#N/A,FALSE,"Budget2000";"SecondQ",#N/A,FALSE,"Budget2000";"Summary",#N/A,FALSE,"Budget2000"}</definedName>
    <definedName name="ee" localSheetId="14" hidden="1">{"FirstQ",#N/A,FALSE,"Budget2000";"SecondQ",#N/A,FALSE,"Budget2000";"Summary",#N/A,FALSE,"Budget2000"}</definedName>
    <definedName name="ee" localSheetId="15" hidden="1">{"FirstQ",#N/A,FALSE,"Budget2000";"SecondQ",#N/A,FALSE,"Budget2000";"Summary",#N/A,FALSE,"Budget2000"}</definedName>
    <definedName name="ee" localSheetId="16" hidden="1">{"FirstQ",#N/A,FALSE,"Budget2000";"SecondQ",#N/A,FALSE,"Budget2000";"Summary",#N/A,FALSE,"Budget2000"}</definedName>
    <definedName name="ee" localSheetId="17" hidden="1">{"FirstQ",#N/A,FALSE,"Budget2000";"SecondQ",#N/A,FALSE,"Budget2000";"Summary",#N/A,FALSE,"Budget2000"}</definedName>
    <definedName name="ee" localSheetId="18" hidden="1">{"FirstQ",#N/A,FALSE,"Budget2000";"SecondQ",#N/A,FALSE,"Budget2000";"Summary",#N/A,FALSE,"Budget2000"}</definedName>
    <definedName name="ee" localSheetId="19" hidden="1">{"FirstQ",#N/A,FALSE,"Budget2000";"SecondQ",#N/A,FALSE,"Budget2000";"Summary",#N/A,FALSE,"Budget2000"}</definedName>
    <definedName name="ee" localSheetId="21" hidden="1">{"FirstQ",#N/A,FALSE,"Budget2000";"SecondQ",#N/A,FALSE,"Budget2000";"Summary",#N/A,FALSE,"Budget2000"}</definedName>
    <definedName name="ee" localSheetId="22" hidden="1">{"FirstQ",#N/A,FALSE,"Budget2000";"SecondQ",#N/A,FALSE,"Budget2000";"Summary",#N/A,FALSE,"Budget2000"}</definedName>
    <definedName name="ee" localSheetId="6" hidden="1">{"FirstQ",#N/A,FALSE,"Budget2000";"SecondQ",#N/A,FALSE,"Budget2000";"Summary",#N/A,FALSE,"Budget2000"}</definedName>
    <definedName name="ee" localSheetId="7" hidden="1">{"FirstQ",#N/A,FALSE,"Budget2000";"SecondQ",#N/A,FALSE,"Budget2000";"Summary",#N/A,FALSE,"Budget2000"}</definedName>
    <definedName name="ee" localSheetId="8" hidden="1">{"FirstQ",#N/A,FALSE,"Budget2000";"SecondQ",#N/A,FALSE,"Budget2000";"Summary",#N/A,FALSE,"Budget2000"}</definedName>
    <definedName name="ee" localSheetId="9" hidden="1">{"FirstQ",#N/A,FALSE,"Budget2000";"SecondQ",#N/A,FALSE,"Budget2000";"Summary",#N/A,FALSE,"Budget2000"}</definedName>
    <definedName name="ee" hidden="1">{"FirstQ",#N/A,FALSE,"Budget2000";"SecondQ",#N/A,FALSE,"Budget2000";"Summary",#N/A,FALSE,"Budget2000"}</definedName>
    <definedName name="ggg" localSheetId="22" hidden="1">{"FirstQ",#N/A,FALSE,"Budget2000";"SecondQ",#N/A,FALSE,"Budget2000";"Summary",#N/A,FALSE,"Budget2000"}</definedName>
    <definedName name="ggg" hidden="1">{"FirstQ",#N/A,FALSE,"Budget2000";"SecondQ",#N/A,FALSE,"Budget2000";"Summary",#N/A,FALSE,"Budget2000"}</definedName>
    <definedName name="k" localSheetId="10" hidden="1">{"FirstQ",#N/A,FALSE,"Budget2000";"SecondQ",#N/A,FALSE,"Budget2000";"Summary",#N/A,FALSE,"Budget2000"}</definedName>
    <definedName name="k" localSheetId="11" hidden="1">{"FirstQ",#N/A,FALSE,"Budget2000";"SecondQ",#N/A,FALSE,"Budget2000";"Summary",#N/A,FALSE,"Budget2000"}</definedName>
    <definedName name="k" localSheetId="13" hidden="1">{"FirstQ",#N/A,FALSE,"Budget2000";"SecondQ",#N/A,FALSE,"Budget2000";"Summary",#N/A,FALSE,"Budget2000"}</definedName>
    <definedName name="k" localSheetId="14" hidden="1">{"FirstQ",#N/A,FALSE,"Budget2000";"SecondQ",#N/A,FALSE,"Budget2000";"Summary",#N/A,FALSE,"Budget2000"}</definedName>
    <definedName name="k" localSheetId="15" hidden="1">{"FirstQ",#N/A,FALSE,"Budget2000";"SecondQ",#N/A,FALSE,"Budget2000";"Summary",#N/A,FALSE,"Budget2000"}</definedName>
    <definedName name="k" localSheetId="16" hidden="1">{"FirstQ",#N/A,FALSE,"Budget2000";"SecondQ",#N/A,FALSE,"Budget2000";"Summary",#N/A,FALSE,"Budget2000"}</definedName>
    <definedName name="k" localSheetId="17" hidden="1">{"FirstQ",#N/A,FALSE,"Budget2000";"SecondQ",#N/A,FALSE,"Budget2000";"Summary",#N/A,FALSE,"Budget2000"}</definedName>
    <definedName name="k" localSheetId="18" hidden="1">{"FirstQ",#N/A,FALSE,"Budget2000";"SecondQ",#N/A,FALSE,"Budget2000";"Summary",#N/A,FALSE,"Budget2000"}</definedName>
    <definedName name="k" localSheetId="19" hidden="1">{"FirstQ",#N/A,FALSE,"Budget2000";"SecondQ",#N/A,FALSE,"Budget2000";"Summary",#N/A,FALSE,"Budget2000"}</definedName>
    <definedName name="k" localSheetId="21" hidden="1">{"FirstQ",#N/A,FALSE,"Budget2000";"SecondQ",#N/A,FALSE,"Budget2000";"Summary",#N/A,FALSE,"Budget2000"}</definedName>
    <definedName name="k" localSheetId="22" hidden="1">{"FirstQ",#N/A,FALSE,"Budget2000";"SecondQ",#N/A,FALSE,"Budget2000";"Summary",#N/A,FALSE,"Budget2000"}</definedName>
    <definedName name="k" localSheetId="6" hidden="1">{"FirstQ",#N/A,FALSE,"Budget2000";"SecondQ",#N/A,FALSE,"Budget2000";"Summary",#N/A,FALSE,"Budget2000"}</definedName>
    <definedName name="k" localSheetId="7" hidden="1">{"FirstQ",#N/A,FALSE,"Budget2000";"SecondQ",#N/A,FALSE,"Budget2000";"Summary",#N/A,FALSE,"Budget2000"}</definedName>
    <definedName name="k" localSheetId="8" hidden="1">{"FirstQ",#N/A,FALSE,"Budget2000";"SecondQ",#N/A,FALSE,"Budget2000";"Summary",#N/A,FALSE,"Budget2000"}</definedName>
    <definedName name="k" localSheetId="9" hidden="1">{"FirstQ",#N/A,FALSE,"Budget2000";"SecondQ",#N/A,FALSE,"Budget2000";"Summary",#N/A,FALSE,"Budget2000"}</definedName>
    <definedName name="k" hidden="1">{"FirstQ",#N/A,FALSE,"Budget2000";"SecondQ",#N/A,FALSE,"Budget2000";"Summary",#N/A,FALSE,"Budget2000"}</definedName>
    <definedName name="q" localSheetId="10" hidden="1">{"FirstQ",#N/A,FALSE,"Budget2000";"SecondQ",#N/A,FALSE,"Budget2000";"Summary",#N/A,FALSE,"Budget2000"}</definedName>
    <definedName name="q" localSheetId="11" hidden="1">{"FirstQ",#N/A,FALSE,"Budget2000";"SecondQ",#N/A,FALSE,"Budget2000";"Summary",#N/A,FALSE,"Budget2000"}</definedName>
    <definedName name="q" localSheetId="13" hidden="1">{"FirstQ",#N/A,FALSE,"Budget2000";"SecondQ",#N/A,FALSE,"Budget2000";"Summary",#N/A,FALSE,"Budget2000"}</definedName>
    <definedName name="q" localSheetId="14" hidden="1">{"FirstQ",#N/A,FALSE,"Budget2000";"SecondQ",#N/A,FALSE,"Budget2000";"Summary",#N/A,FALSE,"Budget2000"}</definedName>
    <definedName name="q" localSheetId="15" hidden="1">{"FirstQ",#N/A,FALSE,"Budget2000";"SecondQ",#N/A,FALSE,"Budget2000";"Summary",#N/A,FALSE,"Budget2000"}</definedName>
    <definedName name="q" localSheetId="16" hidden="1">{"FirstQ",#N/A,FALSE,"Budget2000";"SecondQ",#N/A,FALSE,"Budget2000";"Summary",#N/A,FALSE,"Budget2000"}</definedName>
    <definedName name="q" localSheetId="17" hidden="1">{"FirstQ",#N/A,FALSE,"Budget2000";"SecondQ",#N/A,FALSE,"Budget2000";"Summary",#N/A,FALSE,"Budget2000"}</definedName>
    <definedName name="q" localSheetId="18" hidden="1">{"FirstQ",#N/A,FALSE,"Budget2000";"SecondQ",#N/A,FALSE,"Budget2000";"Summary",#N/A,FALSE,"Budget2000"}</definedName>
    <definedName name="q" localSheetId="19" hidden="1">{"FirstQ",#N/A,FALSE,"Budget2000";"SecondQ",#N/A,FALSE,"Budget2000";"Summary",#N/A,FALSE,"Budget2000"}</definedName>
    <definedName name="q" localSheetId="21" hidden="1">{"FirstQ",#N/A,FALSE,"Budget2000";"SecondQ",#N/A,FALSE,"Budget2000";"Summary",#N/A,FALSE,"Budget2000"}</definedName>
    <definedName name="q" localSheetId="22" hidden="1">{"FirstQ",#N/A,FALSE,"Budget2000";"SecondQ",#N/A,FALSE,"Budget2000";"Summary",#N/A,FALSE,"Budget2000"}</definedName>
    <definedName name="q" localSheetId="6" hidden="1">{"FirstQ",#N/A,FALSE,"Budget2000";"SecondQ",#N/A,FALSE,"Budget2000";"Summary",#N/A,FALSE,"Budget2000"}</definedName>
    <definedName name="q" localSheetId="7" hidden="1">{"FirstQ",#N/A,FALSE,"Budget2000";"SecondQ",#N/A,FALSE,"Budget2000";"Summary",#N/A,FALSE,"Budget2000"}</definedName>
    <definedName name="q" localSheetId="8" hidden="1">{"FirstQ",#N/A,FALSE,"Budget2000";"SecondQ",#N/A,FALSE,"Budget2000";"Summary",#N/A,FALSE,"Budget2000"}</definedName>
    <definedName name="q" localSheetId="9" hidden="1">{"FirstQ",#N/A,FALSE,"Budget2000";"SecondQ",#N/A,FALSE,"Budget2000";"Summary",#N/A,FALSE,"Budget2000"}</definedName>
    <definedName name="q" hidden="1">{"FirstQ",#N/A,FALSE,"Budget2000";"SecondQ",#N/A,FALSE,"Budget2000";"Summary",#N/A,FALSE,"Budget2000"}</definedName>
    <definedName name="rr" localSheetId="10" hidden="1">{"FirstQ",#N/A,FALSE,"Budget2000";"SecondQ",#N/A,FALSE,"Budget2000"}</definedName>
    <definedName name="rr" localSheetId="11" hidden="1">{"FirstQ",#N/A,FALSE,"Budget2000";"SecondQ",#N/A,FALSE,"Budget2000"}</definedName>
    <definedName name="rr" localSheetId="13" hidden="1">{"FirstQ",#N/A,FALSE,"Budget2000";"SecondQ",#N/A,FALSE,"Budget2000"}</definedName>
    <definedName name="rr" localSheetId="14" hidden="1">{"FirstQ",#N/A,FALSE,"Budget2000";"SecondQ",#N/A,FALSE,"Budget2000"}</definedName>
    <definedName name="rr" localSheetId="15" hidden="1">{"FirstQ",#N/A,FALSE,"Budget2000";"SecondQ",#N/A,FALSE,"Budget2000"}</definedName>
    <definedName name="rr" localSheetId="16" hidden="1">{"FirstQ",#N/A,FALSE,"Budget2000";"SecondQ",#N/A,FALSE,"Budget2000"}</definedName>
    <definedName name="rr" localSheetId="17" hidden="1">{"FirstQ",#N/A,FALSE,"Budget2000";"SecondQ",#N/A,FALSE,"Budget2000"}</definedName>
    <definedName name="rr" localSheetId="18" hidden="1">{"FirstQ",#N/A,FALSE,"Budget2000";"SecondQ",#N/A,FALSE,"Budget2000"}</definedName>
    <definedName name="rr" localSheetId="19" hidden="1">{"FirstQ",#N/A,FALSE,"Budget2000";"SecondQ",#N/A,FALSE,"Budget2000"}</definedName>
    <definedName name="rr" localSheetId="21" hidden="1">{"FirstQ",#N/A,FALSE,"Budget2000";"SecondQ",#N/A,FALSE,"Budget2000"}</definedName>
    <definedName name="rr" localSheetId="22" hidden="1">{"FirstQ",#N/A,FALSE,"Budget2000";"SecondQ",#N/A,FALSE,"Budget2000"}</definedName>
    <definedName name="rr" localSheetId="6" hidden="1">{"FirstQ",#N/A,FALSE,"Budget2000";"SecondQ",#N/A,FALSE,"Budget2000"}</definedName>
    <definedName name="rr" localSheetId="7" hidden="1">{"FirstQ",#N/A,FALSE,"Budget2000";"SecondQ",#N/A,FALSE,"Budget2000"}</definedName>
    <definedName name="rr" localSheetId="8" hidden="1">{"FirstQ",#N/A,FALSE,"Budget2000";"SecondQ",#N/A,FALSE,"Budget2000"}</definedName>
    <definedName name="rr" localSheetId="9" hidden="1">{"FirstQ",#N/A,FALSE,"Budget2000";"SecondQ",#N/A,FALSE,"Budget2000"}</definedName>
    <definedName name="rr" hidden="1">{"FirstQ",#N/A,FALSE,"Budget2000";"SecondQ",#N/A,FALSE,"Budget2000"}</definedName>
    <definedName name="rrr" localSheetId="10" hidden="1">{"AllDetail",#N/A,FALSE,"Research Budget";"1stQuarter",#N/A,FALSE,"Research Budget";"2nd Quarter",#N/A,FALSE,"Research Budget";"Summary",#N/A,FALSE,"Research Budget"}</definedName>
    <definedName name="rrr" localSheetId="11" hidden="1">{"AllDetail",#N/A,FALSE,"Research Budget";"1stQuarter",#N/A,FALSE,"Research Budget";"2nd Quarter",#N/A,FALSE,"Research Budget";"Summary",#N/A,FALSE,"Research Budget"}</definedName>
    <definedName name="rrr" localSheetId="13" hidden="1">{"AllDetail",#N/A,FALSE,"Research Budget";"1stQuarter",#N/A,FALSE,"Research Budget";"2nd Quarter",#N/A,FALSE,"Research Budget";"Summary",#N/A,FALSE,"Research Budget"}</definedName>
    <definedName name="rrr" localSheetId="14" hidden="1">{"AllDetail",#N/A,FALSE,"Research Budget";"1stQuarter",#N/A,FALSE,"Research Budget";"2nd Quarter",#N/A,FALSE,"Research Budget";"Summary",#N/A,FALSE,"Research Budget"}</definedName>
    <definedName name="rrr" localSheetId="15" hidden="1">{"AllDetail",#N/A,FALSE,"Research Budget";"1stQuarter",#N/A,FALSE,"Research Budget";"2nd Quarter",#N/A,FALSE,"Research Budget";"Summary",#N/A,FALSE,"Research Budget"}</definedName>
    <definedName name="rrr" localSheetId="16" hidden="1">{"AllDetail",#N/A,FALSE,"Research Budget";"1stQuarter",#N/A,FALSE,"Research Budget";"2nd Quarter",#N/A,FALSE,"Research Budget";"Summary",#N/A,FALSE,"Research Budget"}</definedName>
    <definedName name="rrr" localSheetId="17" hidden="1">{"AllDetail",#N/A,FALSE,"Research Budget";"1stQuarter",#N/A,FALSE,"Research Budget";"2nd Quarter",#N/A,FALSE,"Research Budget";"Summary",#N/A,FALSE,"Research Budget"}</definedName>
    <definedName name="rrr" localSheetId="18" hidden="1">{"AllDetail",#N/A,FALSE,"Research Budget";"1stQuarter",#N/A,FALSE,"Research Budget";"2nd Quarter",#N/A,FALSE,"Research Budget";"Summary",#N/A,FALSE,"Research Budget"}</definedName>
    <definedName name="rrr" localSheetId="19" hidden="1">{"AllDetail",#N/A,FALSE,"Research Budget";"1stQuarter",#N/A,FALSE,"Research Budget";"2nd Quarter",#N/A,FALSE,"Research Budget";"Summary",#N/A,FALSE,"Research Budget"}</definedName>
    <definedName name="rrr" localSheetId="21" hidden="1">{"AllDetail",#N/A,FALSE,"Research Budget";"1stQuarter",#N/A,FALSE,"Research Budget";"2nd Quarter",#N/A,FALSE,"Research Budget";"Summary",#N/A,FALSE,"Research Budget"}</definedName>
    <definedName name="rrr" localSheetId="22" hidden="1">{"AllDetail",#N/A,FALSE,"Research Budget";"1stQuarter",#N/A,FALSE,"Research Budget";"2nd Quarter",#N/A,FALSE,"Research Budget";"Summary",#N/A,FALSE,"Research Budget"}</definedName>
    <definedName name="rrr" localSheetId="6" hidden="1">{"AllDetail",#N/A,FALSE,"Research Budget";"1stQuarter",#N/A,FALSE,"Research Budget";"2nd Quarter",#N/A,FALSE,"Research Budget";"Summary",#N/A,FALSE,"Research Budget"}</definedName>
    <definedName name="rrr" localSheetId="7" hidden="1">{"AllDetail",#N/A,FALSE,"Research Budget";"1stQuarter",#N/A,FALSE,"Research Budget";"2nd Quarter",#N/A,FALSE,"Research Budget";"Summary",#N/A,FALSE,"Research Budget"}</definedName>
    <definedName name="rrr" localSheetId="8" hidden="1">{"AllDetail",#N/A,FALSE,"Research Budget";"1stQuarter",#N/A,FALSE,"Research Budget";"2nd Quarter",#N/A,FALSE,"Research Budget";"Summary",#N/A,FALSE,"Research Budget"}</definedName>
    <definedName name="rrr" localSheetId="9"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licer_Customer">#N/A</definedName>
    <definedName name="Slicer_Product">#N/A</definedName>
    <definedName name="Slicer_Region">#N/A</definedName>
    <definedName name="Slicer_Salesperson">#N/A</definedName>
    <definedName name="solver_adj" localSheetId="16" hidden="1">'15'!$B$3:$G$3,'15'!$B$4:$G$4</definedName>
    <definedName name="solver_cvg" localSheetId="16" hidden="1">0.0001</definedName>
    <definedName name="solver_drv" localSheetId="16" hidden="1">1</definedName>
    <definedName name="solver_est" localSheetId="16" hidden="1">1</definedName>
    <definedName name="solver_itr" localSheetId="16" hidden="1">100</definedName>
    <definedName name="solver_lhs1" localSheetId="16" hidden="1">'15'!$B$3:$G$3</definedName>
    <definedName name="solver_lhs2" localSheetId="16" hidden="1">'15'!$B$4:$G$4</definedName>
    <definedName name="solver_lin" localSheetId="16" hidden="1">2</definedName>
    <definedName name="solver_neg" localSheetId="16" hidden="1">2</definedName>
    <definedName name="solver_num" localSheetId="16" hidden="1">2</definedName>
    <definedName name="solver_nwt" localSheetId="16" hidden="1">1</definedName>
    <definedName name="solver_opt" localSheetId="16" hidden="1">'15'!$H$5</definedName>
    <definedName name="solver_pre" localSheetId="16" hidden="1">0.000001</definedName>
    <definedName name="solver_rel1" localSheetId="16" hidden="1">1</definedName>
    <definedName name="solver_rel2" localSheetId="16" hidden="1">1</definedName>
    <definedName name="solver_rhs1" localSheetId="16" hidden="1">500</definedName>
    <definedName name="solver_rhs2" localSheetId="16" hidden="1">350</definedName>
    <definedName name="solver_scl" localSheetId="16" hidden="1">2</definedName>
    <definedName name="solver_sho" localSheetId="16" hidden="1">1</definedName>
    <definedName name="solver_tim" localSheetId="16" hidden="1">100</definedName>
    <definedName name="solver_tol" localSheetId="16" hidden="1">0.05</definedName>
    <definedName name="solver_typ" localSheetId="16" hidden="1">3</definedName>
    <definedName name="solver_val" localSheetId="16" hidden="1">500</definedName>
    <definedName name="wrn.AllData." localSheetId="10" hidden="1">{"FirstQ",#N/A,FALSE,"Budget2000";"SecondQ",#N/A,FALSE,"Budget2000";"Summary",#N/A,FALSE,"Budget2000"}</definedName>
    <definedName name="wrn.AllData." localSheetId="11" hidden="1">{"FirstQ",#N/A,FALSE,"Budget2000";"SecondQ",#N/A,FALSE,"Budget2000";"Summary",#N/A,FALSE,"Budget2000"}</definedName>
    <definedName name="wrn.AllData." localSheetId="13" hidden="1">{"FirstQ",#N/A,FALSE,"Budget2000";"SecondQ",#N/A,FALSE,"Budget2000";"Summary",#N/A,FALSE,"Budget2000"}</definedName>
    <definedName name="wrn.AllData." localSheetId="14" hidden="1">{"FirstQ",#N/A,FALSE,"Budget2000";"SecondQ",#N/A,FALSE,"Budget2000";"Summary",#N/A,FALSE,"Budget2000"}</definedName>
    <definedName name="wrn.AllData." localSheetId="15" hidden="1">{"FirstQ",#N/A,FALSE,"Budget2000";"SecondQ",#N/A,FALSE,"Budget2000";"Summary",#N/A,FALSE,"Budget2000"}</definedName>
    <definedName name="wrn.AllData." localSheetId="16" hidden="1">{"FirstQ",#N/A,FALSE,"Budget2000";"SecondQ",#N/A,FALSE,"Budget2000";"Summary",#N/A,FALSE,"Budget2000"}</definedName>
    <definedName name="wrn.AllData." localSheetId="17" hidden="1">{"FirstQ",#N/A,FALSE,"Budget2000";"SecondQ",#N/A,FALSE,"Budget2000";"Summary",#N/A,FALSE,"Budget2000"}</definedName>
    <definedName name="wrn.AllData." localSheetId="18" hidden="1">{"FirstQ",#N/A,FALSE,"Budget2000";"SecondQ",#N/A,FALSE,"Budget2000";"Summary",#N/A,FALSE,"Budget2000"}</definedName>
    <definedName name="wrn.AllData." localSheetId="19" hidden="1">{"FirstQ",#N/A,FALSE,"Budget2000";"SecondQ",#N/A,FALSE,"Budget2000";"Summary",#N/A,FALSE,"Budget2000"}</definedName>
    <definedName name="wrn.AllData." localSheetId="21" hidden="1">{"FirstQ",#N/A,FALSE,"Budget2000";"SecondQ",#N/A,FALSE,"Budget2000";"Summary",#N/A,FALSE,"Budget2000"}</definedName>
    <definedName name="wrn.AllData." localSheetId="22" hidden="1">{"FirstQ",#N/A,FALSE,"Budget2000";"SecondQ",#N/A,FALSE,"Budget2000";"Summary",#N/A,FALSE,"Budget2000"}</definedName>
    <definedName name="wrn.AllData." localSheetId="6" hidden="1">{"FirstQ",#N/A,FALSE,"Budget2000";"SecondQ",#N/A,FALSE,"Budget2000";"Summary",#N/A,FALSE,"Budget2000"}</definedName>
    <definedName name="wrn.AllData." localSheetId="7" hidden="1">{"FirstQ",#N/A,FALSE,"Budget2000";"SecondQ",#N/A,FALSE,"Budget2000";"Summary",#N/A,FALSE,"Budget2000"}</definedName>
    <definedName name="wrn.AllData." localSheetId="8" hidden="1">{"FirstQ",#N/A,FALSE,"Budget2000";"SecondQ",#N/A,FALSE,"Budget2000";"Summary",#N/A,FALSE,"Budget2000"}</definedName>
    <definedName name="wrn.AllData." localSheetId="9" hidden="1">{"FirstQ",#N/A,FALSE,"Budget2000";"SecondQ",#N/A,FALSE,"Budget2000";"Summary",#N/A,FALSE,"Budget2000"}</definedName>
    <definedName name="wrn.AllData." hidden="1">{"FirstQ",#N/A,FALSE,"Budget2000";"SecondQ",#N/A,FALSE,"Budget2000";"Summary",#N/A,FALSE,"Budget2000"}</definedName>
    <definedName name="wrn.FirstHalf." localSheetId="10" hidden="1">{"FirstQ",#N/A,FALSE,"Budget2000";"SecondQ",#N/A,FALSE,"Budget2000"}</definedName>
    <definedName name="wrn.FirstHalf." localSheetId="11" hidden="1">{"FirstQ",#N/A,FALSE,"Budget2000";"SecondQ",#N/A,FALSE,"Budget2000"}</definedName>
    <definedName name="wrn.FirstHalf." localSheetId="13" hidden="1">{"FirstQ",#N/A,FALSE,"Budget2000";"SecondQ",#N/A,FALSE,"Budget2000"}</definedName>
    <definedName name="wrn.FirstHalf." localSheetId="14" hidden="1">{"FirstQ",#N/A,FALSE,"Budget2000";"SecondQ",#N/A,FALSE,"Budget2000"}</definedName>
    <definedName name="wrn.FirstHalf." localSheetId="15" hidden="1">{"FirstQ",#N/A,FALSE,"Budget2000";"SecondQ",#N/A,FALSE,"Budget2000"}</definedName>
    <definedName name="wrn.FirstHalf." localSheetId="16" hidden="1">{"FirstQ",#N/A,FALSE,"Budget2000";"SecondQ",#N/A,FALSE,"Budget2000"}</definedName>
    <definedName name="wrn.FirstHalf." localSheetId="17" hidden="1">{"FirstQ",#N/A,FALSE,"Budget2000";"SecondQ",#N/A,FALSE,"Budget2000"}</definedName>
    <definedName name="wrn.FirstHalf." localSheetId="18" hidden="1">{"FirstQ",#N/A,FALSE,"Budget2000";"SecondQ",#N/A,FALSE,"Budget2000"}</definedName>
    <definedName name="wrn.FirstHalf." localSheetId="19" hidden="1">{"FirstQ",#N/A,FALSE,"Budget2000";"SecondQ",#N/A,FALSE,"Budget2000"}</definedName>
    <definedName name="wrn.FirstHalf." localSheetId="21" hidden="1">{"FirstQ",#N/A,FALSE,"Budget2000";"SecondQ",#N/A,FALSE,"Budget2000"}</definedName>
    <definedName name="wrn.FirstHalf." localSheetId="22" hidden="1">{"FirstQ",#N/A,FALSE,"Budget2000";"SecondQ",#N/A,FALSE,"Budget2000"}</definedName>
    <definedName name="wrn.FirstHalf." localSheetId="6" hidden="1">{"FirstQ",#N/A,FALSE,"Budget2000";"SecondQ",#N/A,FALSE,"Budget2000"}</definedName>
    <definedName name="wrn.FirstHalf." localSheetId="7" hidden="1">{"FirstQ",#N/A,FALSE,"Budget2000";"SecondQ",#N/A,FALSE,"Budget2000"}</definedName>
    <definedName name="wrn.FirstHalf." localSheetId="8" hidden="1">{"FirstQ",#N/A,FALSE,"Budget2000";"SecondQ",#N/A,FALSE,"Budget2000"}</definedName>
    <definedName name="wrn.FirstHalf." localSheetId="9" hidden="1">{"FirstQ",#N/A,FALSE,"Budget2000";"SecondQ",#N/A,FALSE,"Budget2000"}</definedName>
    <definedName name="wrn.FirstHalf." hidden="1">{"FirstQ",#N/A,FALSE,"Budget2000";"SecondQ",#N/A,FALSE,"Budget2000"}</definedName>
    <definedName name="wwww" localSheetId="22" hidden="1">{"FirstQ",#N/A,FALSE,"Budget2000";"SecondQ",#N/A,FALSE,"Budget2000"}</definedName>
    <definedName name="wwww" hidden="1">{"FirstQ",#N/A,FALSE,"Budget2000";"SecondQ",#N/A,FALSE,"Budget2000"}</definedName>
    <definedName name="wwwwwer" localSheetId="22" hidden="1">{"FirstQ",#N/A,FALSE,"Budget2000";"SecondQ",#N/A,FALSE,"Budget2000";"Summary",#N/A,FALSE,"Budget2000"}</definedName>
    <definedName name="wwwwwer" hidden="1">{"FirstQ",#N/A,FALSE,"Budget2000";"SecondQ",#N/A,FALSE,"Budget2000";"Summary",#N/A,FALSE,"Budget2000"}</definedName>
    <definedName name="x" localSheetId="10" hidden="1">{"FirstQ",#N/A,FALSE,"Budget2000";"SecondQ",#N/A,FALSE,"Budget2000";"Summary",#N/A,FALSE,"Budget2000"}</definedName>
    <definedName name="x" localSheetId="11" hidden="1">{"FirstQ",#N/A,FALSE,"Budget2000";"SecondQ",#N/A,FALSE,"Budget2000";"Summary",#N/A,FALSE,"Budget2000"}</definedName>
    <definedName name="x" localSheetId="13" hidden="1">{"FirstQ",#N/A,FALSE,"Budget2000";"SecondQ",#N/A,FALSE,"Budget2000";"Summary",#N/A,FALSE,"Budget2000"}</definedName>
    <definedName name="x" localSheetId="14" hidden="1">{"FirstQ",#N/A,FALSE,"Budget2000";"SecondQ",#N/A,FALSE,"Budget2000";"Summary",#N/A,FALSE,"Budget2000"}</definedName>
    <definedName name="x" localSheetId="15" hidden="1">{"FirstQ",#N/A,FALSE,"Budget2000";"SecondQ",#N/A,FALSE,"Budget2000";"Summary",#N/A,FALSE,"Budget2000"}</definedName>
    <definedName name="x" localSheetId="16" hidden="1">{"FirstQ",#N/A,FALSE,"Budget2000";"SecondQ",#N/A,FALSE,"Budget2000";"Summary",#N/A,FALSE,"Budget2000"}</definedName>
    <definedName name="x" localSheetId="17" hidden="1">{"FirstQ",#N/A,FALSE,"Budget2000";"SecondQ",#N/A,FALSE,"Budget2000";"Summary",#N/A,FALSE,"Budget2000"}</definedName>
    <definedName name="x" localSheetId="18" hidden="1">{"FirstQ",#N/A,FALSE,"Budget2000";"SecondQ",#N/A,FALSE,"Budget2000";"Summary",#N/A,FALSE,"Budget2000"}</definedName>
    <definedName name="x" localSheetId="19" hidden="1">{"FirstQ",#N/A,FALSE,"Budget2000";"SecondQ",#N/A,FALSE,"Budget2000";"Summary",#N/A,FALSE,"Budget2000"}</definedName>
    <definedName name="x" localSheetId="21" hidden="1">{"FirstQ",#N/A,FALSE,"Budget2000";"SecondQ",#N/A,FALSE,"Budget2000";"Summary",#N/A,FALSE,"Budget2000"}</definedName>
    <definedName name="x" localSheetId="22" hidden="1">{"FirstQ",#N/A,FALSE,"Budget2000";"SecondQ",#N/A,FALSE,"Budget2000";"Summary",#N/A,FALSE,"Budget2000"}</definedName>
    <definedName name="x" localSheetId="6" hidden="1">{"FirstQ",#N/A,FALSE,"Budget2000";"SecondQ",#N/A,FALSE,"Budget2000";"Summary",#N/A,FALSE,"Budget2000"}</definedName>
    <definedName name="x" localSheetId="7" hidden="1">{"FirstQ",#N/A,FALSE,"Budget2000";"SecondQ",#N/A,FALSE,"Budget2000";"Summary",#N/A,FALSE,"Budget2000"}</definedName>
    <definedName name="x" localSheetId="8" hidden="1">{"FirstQ",#N/A,FALSE,"Budget2000";"SecondQ",#N/A,FALSE,"Budget2000";"Summary",#N/A,FALSE,"Budget2000"}</definedName>
    <definedName name="x" localSheetId="9" hidden="1">{"FirstQ",#N/A,FALSE,"Budget2000";"SecondQ",#N/A,FALSE,"Budget2000";"Summary",#N/A,FALSE,"Budget2000"}</definedName>
    <definedName name="x" hidden="1">{"FirstQ",#N/A,FALSE,"Budget2000";"SecondQ",#N/A,FALSE,"Budget2000";"Summary",#N/A,FALSE,"Budget2000"}</definedName>
    <definedName name="xxxxxxxxxxxxxxxxxxx" localSheetId="10" hidden="1">{"AllDetail",#N/A,FALSE,"Research Budget";"1stQuarter",#N/A,FALSE,"Research Budget";"2nd Quarter",#N/A,FALSE,"Research Budget";"Summary",#N/A,FALSE,"Research Budget"}</definedName>
    <definedName name="xxxxxxxxxxxxxxxxxxx" localSheetId="11" hidden="1">{"AllDetail",#N/A,FALSE,"Research Budget";"1stQuarter",#N/A,FALSE,"Research Budget";"2nd Quarter",#N/A,FALSE,"Research Budget";"Summary",#N/A,FALSE,"Research Budget"}</definedName>
    <definedName name="xxxxxxxxxxxxxxxxxxx" localSheetId="13" hidden="1">{"AllDetail",#N/A,FALSE,"Research Budget";"1stQuarter",#N/A,FALSE,"Research Budget";"2nd Quarter",#N/A,FALSE,"Research Budget";"Summary",#N/A,FALSE,"Research Budget"}</definedName>
    <definedName name="xxxxxxxxxxxxxxxxxxx" localSheetId="14" hidden="1">{"AllDetail",#N/A,FALSE,"Research Budget";"1stQuarter",#N/A,FALSE,"Research Budget";"2nd Quarter",#N/A,FALSE,"Research Budget";"Summary",#N/A,FALSE,"Research Budget"}</definedName>
    <definedName name="xxxxxxxxxxxxxxxxxxx" localSheetId="15" hidden="1">{"AllDetail",#N/A,FALSE,"Research Budget";"1stQuarter",#N/A,FALSE,"Research Budget";"2nd Quarter",#N/A,FALSE,"Research Budget";"Summary",#N/A,FALSE,"Research Budget"}</definedName>
    <definedName name="xxxxxxxxxxxxxxxxxxx" localSheetId="16" hidden="1">{"AllDetail",#N/A,FALSE,"Research Budget";"1stQuarter",#N/A,FALSE,"Research Budget";"2nd Quarter",#N/A,FALSE,"Research Budget";"Summary",#N/A,FALSE,"Research Budget"}</definedName>
    <definedName name="xxxxxxxxxxxxxxxxxxx" localSheetId="17" hidden="1">{"AllDetail",#N/A,FALSE,"Research Budget";"1stQuarter",#N/A,FALSE,"Research Budget";"2nd Quarter",#N/A,FALSE,"Research Budget";"Summary",#N/A,FALSE,"Research Budget"}</definedName>
    <definedName name="xxxxxxxxxxxxxxxxxxx" localSheetId="18" hidden="1">{"AllDetail",#N/A,FALSE,"Research Budget";"1stQuarter",#N/A,FALSE,"Research Budget";"2nd Quarter",#N/A,FALSE,"Research Budget";"Summary",#N/A,FALSE,"Research Budget"}</definedName>
    <definedName name="xxxxxxxxxxxxxxxxxxx" localSheetId="19" hidden="1">{"AllDetail",#N/A,FALSE,"Research Budget";"1stQuarter",#N/A,FALSE,"Research Budget";"2nd Quarter",#N/A,FALSE,"Research Budget";"Summary",#N/A,FALSE,"Research Budget"}</definedName>
    <definedName name="xxxxxxxxxxxxxxxxxxx" localSheetId="21" hidden="1">{"AllDetail",#N/A,FALSE,"Research Budget";"1stQuarter",#N/A,FALSE,"Research Budget";"2nd Quarter",#N/A,FALSE,"Research Budget";"Summary",#N/A,FALSE,"Research Budget"}</definedName>
    <definedName name="xxxxxxxxxxxxxxxxxxx" localSheetId="22" hidden="1">{"AllDetail",#N/A,FALSE,"Research Budget";"1stQuarter",#N/A,FALSE,"Research Budget";"2nd Quarter",#N/A,FALSE,"Research Budget";"Summary",#N/A,FALSE,"Research Budget"}</definedName>
    <definedName name="xxxxxxxxxxxxxxxxxxx" localSheetId="6" hidden="1">{"AllDetail",#N/A,FALSE,"Research Budget";"1stQuarter",#N/A,FALSE,"Research Budget";"2nd Quarter",#N/A,FALSE,"Research Budget";"Summary",#N/A,FALSE,"Research Budget"}</definedName>
    <definedName name="xxxxxxxxxxxxxxxxxxx" localSheetId="7" hidden="1">{"AllDetail",#N/A,FALSE,"Research Budget";"1stQuarter",#N/A,FALSE,"Research Budget";"2nd Quarter",#N/A,FALSE,"Research Budget";"Summary",#N/A,FALSE,"Research Budget"}</definedName>
    <definedName name="xxxxxxxxxxxxxxxxxxx" localSheetId="8" hidden="1">{"AllDetail",#N/A,FALSE,"Research Budget";"1stQuarter",#N/A,FALSE,"Research Budget";"2nd Quarter",#N/A,FALSE,"Research Budget";"Summary",#N/A,FALSE,"Research Budget"}</definedName>
    <definedName name="xxxxxxxxxxxxxxxxxxx" localSheetId="9"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11" hidden="1">'11'!$A$1:$N$744</definedName>
    <definedName name="Z_32E1B1E0_F29A_4FB3_9E7F_F78F245BC75E_.wvu.FilterData" localSheetId="15" hidden="1">'14'!$A$1:$L$742</definedName>
    <definedName name="Z_32E1B1E0_F29A_4FB3_9E7F_F78F245BC75E_.wvu.FilterData" localSheetId="19" hidden="1">'18'!#REF!</definedName>
    <definedName name="Z_32E1B1E0_F29A_4FB3_9E7F_F78F245BC75E_.wvu.FilterData" localSheetId="5" hidden="1">'5'!$A$1:$O$742</definedName>
    <definedName name="Z_32E1B1E0_F29A_4FB3_9E7F_F78F245BC75E_.wvu.FilterData" localSheetId="7" hidden="1">'7'!$A$2:$O$743</definedName>
    <definedName name="Z_32E1B1E0_F29A_4FB3_9E7F_F78F245BC75E_.wvu.PrintArea" localSheetId="19" hidden="1">'18'!#REF!</definedName>
    <definedName name="Z_32E1B1E0_F29A_4FB3_9E7F_F78F245BC75E_.wvu.PrintTitles" localSheetId="19" hidden="1">'18'!$1:$1</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4"/>
        <x14:slicerCache r:id="rId25"/>
        <x14:slicerCache r:id="rId26"/>
        <x14:slicerCache r:id="rId27"/>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913" i="19" l="1"/>
  <c r="G913" i="19"/>
  <c r="G742" i="15"/>
  <c r="H742" i="15"/>
  <c r="G741" i="15"/>
  <c r="H741" i="15"/>
  <c r="B2" i="29" l="1"/>
  <c r="F2" i="29"/>
  <c r="G2" i="29"/>
  <c r="B3" i="29"/>
  <c r="B4" i="29"/>
  <c r="B5" i="29"/>
  <c r="B6" i="29"/>
  <c r="B7" i="29"/>
  <c r="B8" i="29"/>
  <c r="B9" i="29"/>
  <c r="B10" i="29"/>
  <c r="B11" i="29"/>
  <c r="B12" i="29"/>
  <c r="B13" i="29"/>
  <c r="B14" i="29"/>
  <c r="B15" i="29"/>
  <c r="B16" i="29"/>
  <c r="B17" i="29"/>
  <c r="B18" i="29"/>
  <c r="B19" i="29"/>
  <c r="B20" i="29"/>
  <c r="B21" i="29"/>
  <c r="B22" i="29"/>
  <c r="B23" i="29"/>
  <c r="B24" i="29"/>
  <c r="B25" i="29"/>
  <c r="B26" i="29"/>
  <c r="B27" i="29"/>
  <c r="B28" i="29"/>
  <c r="B29" i="29"/>
  <c r="B30" i="29"/>
  <c r="H2" i="26" l="1"/>
  <c r="I2" i="26"/>
  <c r="H3" i="26"/>
  <c r="I3" i="26"/>
  <c r="H4" i="26"/>
  <c r="I4" i="26"/>
  <c r="H5" i="26"/>
  <c r="I5" i="26"/>
  <c r="H6" i="26"/>
  <c r="I6"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6" i="26"/>
  <c r="I26" i="26"/>
  <c r="H27" i="26"/>
  <c r="I27" i="26"/>
  <c r="H28" i="26"/>
  <c r="I28" i="26"/>
  <c r="H29" i="26"/>
  <c r="I29" i="26"/>
  <c r="H30" i="26"/>
  <c r="I30" i="26"/>
  <c r="H31" i="26"/>
  <c r="I31" i="26"/>
  <c r="H32" i="26"/>
  <c r="I32" i="26"/>
  <c r="H33" i="26"/>
  <c r="I33" i="26"/>
  <c r="H34" i="26"/>
  <c r="I34" i="26"/>
  <c r="H35" i="26"/>
  <c r="I35" i="26"/>
  <c r="H37" i="26"/>
  <c r="I37" i="26"/>
  <c r="H38" i="26"/>
  <c r="I38" i="26"/>
  <c r="H39" i="26"/>
  <c r="I39" i="26"/>
  <c r="H40" i="26"/>
  <c r="I40"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2" i="26"/>
  <c r="I102" i="26"/>
  <c r="H103" i="26"/>
  <c r="I103" i="26"/>
  <c r="H104" i="26"/>
  <c r="I104" i="26"/>
  <c r="H105" i="26"/>
  <c r="I105" i="26"/>
  <c r="H106" i="26"/>
  <c r="I106" i="26"/>
  <c r="H107" i="26"/>
  <c r="I107" i="26"/>
  <c r="H108" i="26"/>
  <c r="I108" i="26"/>
  <c r="H109" i="26"/>
  <c r="I109" i="26"/>
  <c r="H111" i="26"/>
  <c r="I111" i="26"/>
  <c r="H112" i="26"/>
  <c r="I112" i="26"/>
  <c r="H113" i="26"/>
  <c r="I113" i="26"/>
  <c r="H114" i="26"/>
  <c r="I114" i="26"/>
  <c r="H115" i="26"/>
  <c r="I115" i="26"/>
  <c r="H116" i="26"/>
  <c r="I116" i="26"/>
  <c r="H117" i="26"/>
  <c r="I117" i="26"/>
  <c r="H118" i="26"/>
  <c r="I118" i="26"/>
  <c r="H119" i="26"/>
  <c r="I119"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1" i="26"/>
  <c r="I141" i="26"/>
  <c r="H142" i="26"/>
  <c r="I142" i="26"/>
  <c r="H143" i="26"/>
  <c r="I143" i="26"/>
  <c r="H144" i="26"/>
  <c r="I144" i="26"/>
  <c r="H145" i="26"/>
  <c r="I145"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6" i="26"/>
  <c r="I186" i="26"/>
  <c r="H187" i="26"/>
  <c r="I187" i="26"/>
  <c r="H188" i="26"/>
  <c r="I188" i="26"/>
  <c r="H189" i="26"/>
  <c r="I189" i="26"/>
  <c r="H190" i="26"/>
  <c r="I190" i="26"/>
  <c r="H191" i="26"/>
  <c r="I191" i="26"/>
  <c r="H192" i="26"/>
  <c r="I192" i="26"/>
  <c r="H193" i="26"/>
  <c r="I193" i="26"/>
  <c r="H195" i="26"/>
  <c r="I195" i="26"/>
  <c r="H196" i="26"/>
  <c r="I196" i="26"/>
  <c r="H197" i="26"/>
  <c r="I197" i="26"/>
  <c r="H198" i="26"/>
  <c r="I198" i="26"/>
  <c r="H199" i="26"/>
  <c r="I199" i="26"/>
  <c r="H200" i="26"/>
  <c r="I200" i="26"/>
  <c r="H201" i="26"/>
  <c r="I201" i="26"/>
  <c r="H202" i="26"/>
  <c r="I202" i="26"/>
  <c r="H203" i="26"/>
  <c r="I203" i="26"/>
  <c r="H204" i="26"/>
  <c r="I204" i="26"/>
  <c r="H205" i="26"/>
  <c r="I205" i="26"/>
  <c r="H206" i="26"/>
  <c r="I206" i="26"/>
  <c r="H207" i="26"/>
  <c r="I207" i="26"/>
  <c r="H208" i="26"/>
  <c r="I208" i="26"/>
  <c r="H209" i="26"/>
  <c r="I209" i="26"/>
  <c r="H210" i="26"/>
  <c r="I210" i="26"/>
  <c r="H211" i="26"/>
  <c r="I211" i="26"/>
  <c r="H212" i="26"/>
  <c r="I212" i="26"/>
  <c r="H213" i="26"/>
  <c r="I213" i="26"/>
  <c r="H214" i="26"/>
  <c r="I214" i="26"/>
  <c r="H215" i="26"/>
  <c r="I215" i="26"/>
  <c r="H216" i="26"/>
  <c r="I216" i="26"/>
  <c r="H217" i="26"/>
  <c r="I217" i="26"/>
  <c r="H218" i="26"/>
  <c r="I218" i="26"/>
  <c r="H219" i="26"/>
  <c r="I219" i="26"/>
  <c r="H220" i="26"/>
  <c r="I220" i="26"/>
  <c r="H221" i="26"/>
  <c r="I221" i="26"/>
  <c r="H222" i="26"/>
  <c r="I222" i="26"/>
  <c r="H223" i="26"/>
  <c r="I223" i="26"/>
  <c r="H224" i="26"/>
  <c r="I224" i="26"/>
  <c r="H225" i="26"/>
  <c r="I225" i="26"/>
  <c r="H226" i="26"/>
  <c r="I226" i="26"/>
  <c r="H227" i="26"/>
  <c r="I227" i="26"/>
  <c r="H228" i="26"/>
  <c r="I228" i="26"/>
  <c r="H229" i="26"/>
  <c r="I229" i="26"/>
  <c r="H230" i="26"/>
  <c r="I230" i="26"/>
  <c r="H231" i="26"/>
  <c r="I231" i="26"/>
  <c r="H232" i="26"/>
  <c r="I232" i="26"/>
  <c r="H233" i="26"/>
  <c r="I233" i="26"/>
  <c r="H234" i="26"/>
  <c r="I234" i="26"/>
  <c r="H235" i="26"/>
  <c r="I235" i="26"/>
  <c r="H236" i="26"/>
  <c r="I236" i="26"/>
  <c r="H237" i="26"/>
  <c r="I237" i="26"/>
  <c r="H238" i="26"/>
  <c r="I238" i="26"/>
  <c r="H239" i="26"/>
  <c r="I239" i="26"/>
  <c r="H240" i="26"/>
  <c r="I240" i="26"/>
  <c r="H241" i="26"/>
  <c r="I241" i="26"/>
  <c r="H242" i="26"/>
  <c r="I242" i="26"/>
  <c r="H243" i="26"/>
  <c r="I243" i="26"/>
  <c r="H244" i="26"/>
  <c r="I244" i="26"/>
  <c r="H245" i="26"/>
  <c r="I245" i="26"/>
  <c r="H246" i="26"/>
  <c r="I246" i="26"/>
  <c r="H247" i="26"/>
  <c r="I247" i="26"/>
  <c r="H248" i="26"/>
  <c r="I248" i="26"/>
  <c r="H249" i="26"/>
  <c r="I249" i="26"/>
  <c r="H250" i="26"/>
  <c r="I250" i="26"/>
  <c r="H251" i="26"/>
  <c r="I251" i="26"/>
  <c r="H252" i="26"/>
  <c r="I252" i="26"/>
  <c r="H253" i="26"/>
  <c r="I253" i="26"/>
  <c r="H254" i="26"/>
  <c r="I254" i="26"/>
  <c r="H255" i="26"/>
  <c r="I255" i="26"/>
  <c r="H256" i="26"/>
  <c r="I256" i="26"/>
  <c r="H257" i="26"/>
  <c r="I257" i="26"/>
  <c r="H258" i="26"/>
  <c r="I258" i="26"/>
  <c r="H259" i="26"/>
  <c r="I259" i="26"/>
  <c r="H260" i="26"/>
  <c r="I260" i="26"/>
  <c r="H261" i="26"/>
  <c r="I261" i="26"/>
  <c r="H262" i="26"/>
  <c r="I262" i="26"/>
  <c r="H263" i="26"/>
  <c r="I263" i="26"/>
  <c r="H264" i="26"/>
  <c r="I264" i="26"/>
  <c r="H265" i="26"/>
  <c r="I265" i="26"/>
  <c r="H266" i="26"/>
  <c r="I266" i="26"/>
  <c r="H267" i="26"/>
  <c r="I267" i="26"/>
  <c r="H268" i="26"/>
  <c r="I268" i="26"/>
  <c r="H269" i="26"/>
  <c r="I269" i="26"/>
  <c r="H270" i="26"/>
  <c r="I270" i="26"/>
  <c r="H271" i="26"/>
  <c r="I271" i="26"/>
  <c r="H272" i="26"/>
  <c r="I272" i="26"/>
  <c r="H273" i="26"/>
  <c r="I273" i="26"/>
  <c r="H274" i="26"/>
  <c r="I274" i="26"/>
  <c r="H275" i="26"/>
  <c r="I275" i="26"/>
  <c r="H276" i="26"/>
  <c r="I276" i="26"/>
  <c r="H277" i="26"/>
  <c r="I277" i="26"/>
  <c r="H278" i="26"/>
  <c r="I278" i="26"/>
  <c r="H279" i="26"/>
  <c r="I279" i="26"/>
  <c r="H280" i="26"/>
  <c r="I280" i="26"/>
  <c r="H281" i="26"/>
  <c r="I281" i="26"/>
  <c r="H282" i="26"/>
  <c r="I282" i="26"/>
  <c r="H283" i="26"/>
  <c r="I283" i="26"/>
  <c r="H284" i="26"/>
  <c r="I284" i="26"/>
  <c r="H285" i="26"/>
  <c r="I285" i="26"/>
  <c r="H286" i="26"/>
  <c r="I286" i="26"/>
  <c r="H287" i="26"/>
  <c r="I287" i="26"/>
  <c r="H288" i="26"/>
  <c r="I288" i="26"/>
  <c r="H289" i="26"/>
  <c r="I289" i="26"/>
  <c r="H290" i="26"/>
  <c r="I290" i="26"/>
  <c r="H291" i="26"/>
  <c r="I291" i="26"/>
  <c r="H292" i="26"/>
  <c r="I292" i="26"/>
  <c r="H293" i="26"/>
  <c r="I293" i="26"/>
  <c r="H294" i="26"/>
  <c r="I294" i="26"/>
  <c r="H295" i="26"/>
  <c r="I295" i="26"/>
  <c r="H296" i="26"/>
  <c r="I296" i="26"/>
  <c r="H297" i="26"/>
  <c r="I297" i="26"/>
  <c r="H298" i="26"/>
  <c r="I298" i="26"/>
  <c r="H299" i="26"/>
  <c r="I299" i="26"/>
  <c r="H300" i="26"/>
  <c r="I300" i="26"/>
  <c r="H301" i="26"/>
  <c r="I301" i="26"/>
  <c r="H302" i="26"/>
  <c r="I302" i="26"/>
  <c r="H303" i="26"/>
  <c r="I303" i="26"/>
  <c r="H304" i="26"/>
  <c r="I304" i="26"/>
  <c r="H305" i="26"/>
  <c r="I305" i="26"/>
  <c r="H306" i="26"/>
  <c r="I306" i="26"/>
  <c r="H307" i="26"/>
  <c r="I307" i="26"/>
  <c r="H308" i="26"/>
  <c r="I308" i="26"/>
  <c r="H309" i="26"/>
  <c r="I309" i="26"/>
  <c r="H310" i="26"/>
  <c r="I310" i="26"/>
  <c r="H311" i="26"/>
  <c r="I311" i="26"/>
  <c r="H312" i="26"/>
  <c r="I312" i="26"/>
  <c r="H313" i="26"/>
  <c r="I313" i="26"/>
  <c r="H314" i="26"/>
  <c r="I314" i="26"/>
  <c r="H315" i="26"/>
  <c r="I315" i="26"/>
  <c r="H316" i="26"/>
  <c r="I316" i="26"/>
  <c r="H317" i="26"/>
  <c r="I317" i="26"/>
  <c r="H318" i="26"/>
  <c r="I318" i="26"/>
  <c r="H319" i="26"/>
  <c r="I319" i="26"/>
  <c r="H320" i="26"/>
  <c r="I320" i="26"/>
  <c r="H321" i="26"/>
  <c r="I321" i="26"/>
  <c r="H322" i="26"/>
  <c r="I322" i="26"/>
  <c r="H323" i="26"/>
  <c r="I323" i="26"/>
  <c r="H324" i="26"/>
  <c r="I324" i="26"/>
  <c r="H325" i="26"/>
  <c r="I325" i="26"/>
  <c r="H326" i="26"/>
  <c r="I326" i="26"/>
  <c r="H327" i="26"/>
  <c r="I327" i="26"/>
  <c r="H328" i="26"/>
  <c r="I328" i="26"/>
  <c r="H329" i="26"/>
  <c r="I329" i="26"/>
  <c r="H330" i="26"/>
  <c r="I330" i="26"/>
  <c r="H331" i="26"/>
  <c r="I331" i="26"/>
  <c r="H332" i="26"/>
  <c r="I332" i="26"/>
  <c r="H333" i="26"/>
  <c r="I333" i="26"/>
  <c r="H334" i="26"/>
  <c r="I334" i="26"/>
  <c r="H335" i="26"/>
  <c r="I335" i="26"/>
  <c r="H336" i="26"/>
  <c r="I336" i="26"/>
  <c r="H337" i="26"/>
  <c r="I337" i="26"/>
  <c r="H338" i="26"/>
  <c r="I338" i="26"/>
  <c r="H339" i="26"/>
  <c r="I339" i="26"/>
  <c r="H340" i="26"/>
  <c r="I340" i="26"/>
  <c r="H341" i="26"/>
  <c r="I341" i="26"/>
  <c r="H342" i="26"/>
  <c r="I342" i="26"/>
  <c r="H343" i="26"/>
  <c r="I343" i="26"/>
  <c r="H344" i="26"/>
  <c r="I344" i="26"/>
  <c r="H345" i="26"/>
  <c r="I345" i="26"/>
  <c r="H347" i="26"/>
  <c r="I347" i="26"/>
  <c r="H348" i="26"/>
  <c r="I348" i="26"/>
  <c r="H349" i="26"/>
  <c r="I349" i="26"/>
  <c r="H350" i="26"/>
  <c r="I350" i="26"/>
  <c r="H351" i="26"/>
  <c r="I351" i="26"/>
  <c r="H352" i="26"/>
  <c r="I352" i="26"/>
  <c r="H353" i="26"/>
  <c r="I353" i="26"/>
  <c r="H355" i="26"/>
  <c r="I355" i="26"/>
  <c r="H356" i="26"/>
  <c r="I356" i="26"/>
  <c r="H357" i="26"/>
  <c r="I357" i="26"/>
  <c r="H358" i="26"/>
  <c r="I358" i="26"/>
  <c r="H359" i="26"/>
  <c r="I359" i="26"/>
  <c r="H360" i="26"/>
  <c r="I360" i="26"/>
  <c r="H361" i="26"/>
  <c r="I361" i="26"/>
  <c r="H362" i="26"/>
  <c r="I362" i="26"/>
  <c r="H363" i="26"/>
  <c r="I363" i="26"/>
  <c r="H364" i="26"/>
  <c r="I364" i="26"/>
  <c r="H365" i="26"/>
  <c r="I365" i="26"/>
  <c r="H366" i="26"/>
  <c r="I366" i="26"/>
  <c r="H367" i="26"/>
  <c r="I367" i="26"/>
  <c r="H368" i="26"/>
  <c r="I368" i="26"/>
  <c r="H369" i="26"/>
  <c r="I369" i="26"/>
  <c r="H370" i="26"/>
  <c r="I370" i="26"/>
  <c r="H371" i="26"/>
  <c r="I371" i="26"/>
  <c r="H372" i="26"/>
  <c r="I372" i="26"/>
  <c r="H373" i="26"/>
  <c r="I373" i="26"/>
  <c r="H374" i="26"/>
  <c r="I374" i="26"/>
  <c r="H375" i="26"/>
  <c r="I375" i="26"/>
  <c r="H376" i="26"/>
  <c r="I376" i="26"/>
  <c r="H377" i="26"/>
  <c r="I377" i="26"/>
  <c r="H378" i="26"/>
  <c r="I378" i="26"/>
  <c r="H379" i="26"/>
  <c r="I379" i="26"/>
  <c r="H380" i="26"/>
  <c r="I380" i="26"/>
  <c r="H381" i="26"/>
  <c r="I381" i="26"/>
  <c r="H382" i="26"/>
  <c r="I382" i="26"/>
  <c r="H383" i="26"/>
  <c r="I383" i="26"/>
  <c r="H384" i="26"/>
  <c r="I384" i="26"/>
  <c r="H385" i="26"/>
  <c r="I385" i="26"/>
  <c r="H386" i="26"/>
  <c r="I386" i="26"/>
  <c r="H387" i="26"/>
  <c r="I387" i="26"/>
  <c r="H388" i="26"/>
  <c r="I388" i="26"/>
  <c r="H389" i="26"/>
  <c r="I389" i="26"/>
  <c r="H390" i="26"/>
  <c r="I390" i="26"/>
  <c r="H391" i="26"/>
  <c r="I391" i="26"/>
  <c r="H392" i="26"/>
  <c r="I392" i="26"/>
  <c r="H393" i="26"/>
  <c r="I393" i="26"/>
  <c r="H394" i="26"/>
  <c r="I394" i="26"/>
  <c r="H395" i="26"/>
  <c r="I395" i="26"/>
  <c r="H396" i="26"/>
  <c r="I396" i="26"/>
  <c r="H397" i="26"/>
  <c r="I397" i="26"/>
  <c r="H398" i="26"/>
  <c r="I398" i="26"/>
  <c r="H399" i="26"/>
  <c r="I399" i="26"/>
  <c r="H400" i="26"/>
  <c r="I400" i="26"/>
  <c r="H401" i="26"/>
  <c r="I401" i="26"/>
  <c r="H402" i="26"/>
  <c r="I402" i="26"/>
  <c r="H403" i="26"/>
  <c r="I403" i="26"/>
  <c r="H404" i="26"/>
  <c r="I404" i="26"/>
  <c r="H405" i="26"/>
  <c r="I405" i="26"/>
  <c r="H407" i="26"/>
  <c r="I407" i="26"/>
  <c r="H408" i="26"/>
  <c r="I408" i="26"/>
  <c r="H409" i="26"/>
  <c r="I409" i="26"/>
  <c r="H410" i="26"/>
  <c r="I410" i="26"/>
  <c r="H411" i="26"/>
  <c r="I411" i="26"/>
  <c r="H412" i="26"/>
  <c r="I412" i="26"/>
  <c r="H413" i="26"/>
  <c r="I413" i="26"/>
  <c r="H414" i="26"/>
  <c r="I414" i="26"/>
  <c r="H415" i="26"/>
  <c r="I415" i="26"/>
  <c r="H416" i="26"/>
  <c r="I416" i="26"/>
  <c r="H417" i="26"/>
  <c r="I417" i="26"/>
  <c r="H418" i="26"/>
  <c r="I418" i="26"/>
  <c r="H419" i="26"/>
  <c r="I419" i="26"/>
  <c r="H420" i="26"/>
  <c r="I420" i="26"/>
  <c r="H421" i="26"/>
  <c r="I421" i="26"/>
  <c r="H422" i="26"/>
  <c r="I422" i="26"/>
  <c r="H423" i="26"/>
  <c r="I423" i="26"/>
  <c r="H424" i="26"/>
  <c r="I424" i="26"/>
  <c r="H425" i="26"/>
  <c r="I425" i="26"/>
  <c r="H426" i="26"/>
  <c r="I426" i="26"/>
  <c r="H427" i="26"/>
  <c r="I427" i="26"/>
  <c r="H429" i="26"/>
  <c r="I429" i="26"/>
  <c r="H430" i="26"/>
  <c r="I430" i="26"/>
  <c r="H431" i="26"/>
  <c r="I431" i="26"/>
  <c r="H432" i="26"/>
  <c r="I432" i="26"/>
  <c r="H434" i="26"/>
  <c r="I434" i="26"/>
  <c r="H435" i="26"/>
  <c r="I435" i="26"/>
  <c r="H436" i="26"/>
  <c r="I436" i="26"/>
  <c r="H437" i="26"/>
  <c r="I437" i="26"/>
  <c r="H438" i="26"/>
  <c r="I438" i="26"/>
  <c r="H439" i="26"/>
  <c r="I439" i="26"/>
  <c r="H440" i="26"/>
  <c r="I440" i="26"/>
  <c r="H441" i="26"/>
  <c r="I441" i="26"/>
  <c r="H442" i="26"/>
  <c r="I442" i="26"/>
  <c r="H443" i="26"/>
  <c r="I443" i="26"/>
  <c r="H444" i="26"/>
  <c r="I444" i="26"/>
  <c r="H445" i="26"/>
  <c r="I445" i="26"/>
  <c r="H446" i="26"/>
  <c r="I446" i="26"/>
  <c r="H447" i="26"/>
  <c r="I447" i="26"/>
  <c r="H448" i="26"/>
  <c r="I448" i="26"/>
  <c r="H449" i="26"/>
  <c r="I449" i="26"/>
  <c r="H450" i="26"/>
  <c r="I450" i="26"/>
  <c r="H451" i="26"/>
  <c r="I451" i="26"/>
  <c r="H452" i="26"/>
  <c r="I452" i="26"/>
  <c r="H453" i="26"/>
  <c r="I453" i="26"/>
  <c r="H454" i="26"/>
  <c r="I454" i="26"/>
  <c r="H455" i="26"/>
  <c r="I455" i="26"/>
  <c r="H456" i="26"/>
  <c r="I456" i="26"/>
  <c r="H457" i="26"/>
  <c r="I457" i="26"/>
  <c r="H458" i="26"/>
  <c r="I458" i="26"/>
  <c r="H459" i="26"/>
  <c r="I459" i="26"/>
  <c r="H460" i="26"/>
  <c r="I460" i="26"/>
  <c r="H461" i="26"/>
  <c r="I461" i="26"/>
  <c r="H462" i="26"/>
  <c r="I462" i="26"/>
  <c r="H463" i="26"/>
  <c r="I463" i="26"/>
  <c r="H464" i="26"/>
  <c r="I464" i="26"/>
  <c r="H465" i="26"/>
  <c r="I465" i="26"/>
  <c r="H466" i="26"/>
  <c r="I466" i="26"/>
  <c r="H467" i="26"/>
  <c r="I467" i="26"/>
  <c r="H468" i="26"/>
  <c r="I468" i="26"/>
  <c r="H469" i="26"/>
  <c r="I469" i="26"/>
  <c r="H470" i="26"/>
  <c r="I470" i="26"/>
  <c r="H471" i="26"/>
  <c r="I471" i="26"/>
  <c r="H472" i="26"/>
  <c r="I472" i="26"/>
  <c r="H473" i="26"/>
  <c r="I473" i="26"/>
  <c r="H474" i="26"/>
  <c r="I474" i="26"/>
  <c r="H475" i="26"/>
  <c r="I475" i="26"/>
  <c r="H476" i="26"/>
  <c r="I476" i="26"/>
  <c r="H477" i="26"/>
  <c r="I477" i="26"/>
  <c r="H479" i="26"/>
  <c r="I479" i="26"/>
  <c r="H480" i="26"/>
  <c r="I480" i="26"/>
  <c r="H481" i="26"/>
  <c r="I481" i="26"/>
  <c r="H482" i="26"/>
  <c r="I482" i="26"/>
  <c r="H483" i="26"/>
  <c r="I483" i="26"/>
  <c r="H484" i="26"/>
  <c r="I484" i="26"/>
  <c r="H485" i="26"/>
  <c r="I485" i="26"/>
  <c r="H486" i="26"/>
  <c r="I486" i="26"/>
  <c r="H487" i="26"/>
  <c r="I487" i="26"/>
  <c r="H488" i="26"/>
  <c r="I488" i="26"/>
  <c r="H489" i="26"/>
  <c r="I489" i="26"/>
  <c r="H490" i="26"/>
  <c r="I490" i="26"/>
  <c r="H491" i="26"/>
  <c r="I491" i="26"/>
  <c r="H492" i="26"/>
  <c r="I492" i="26"/>
  <c r="H493" i="26"/>
  <c r="I493" i="26"/>
  <c r="H494" i="26"/>
  <c r="I494" i="26"/>
  <c r="H496" i="26"/>
  <c r="I496" i="26"/>
  <c r="H497" i="26"/>
  <c r="I497" i="26"/>
  <c r="H498" i="26"/>
  <c r="I498" i="26"/>
  <c r="H499" i="26"/>
  <c r="I499" i="26"/>
  <c r="H500" i="26"/>
  <c r="I500" i="26"/>
  <c r="H501" i="26"/>
  <c r="I501" i="26"/>
  <c r="H502" i="26"/>
  <c r="I502" i="26"/>
  <c r="H503" i="26"/>
  <c r="I503" i="26"/>
  <c r="H504" i="26"/>
  <c r="I504" i="26"/>
  <c r="H505" i="26"/>
  <c r="I505" i="26"/>
  <c r="H506" i="26"/>
  <c r="I506" i="26"/>
  <c r="H507" i="26"/>
  <c r="I507" i="26"/>
  <c r="H508" i="26"/>
  <c r="I508" i="26"/>
  <c r="H509" i="26"/>
  <c r="I509" i="26"/>
  <c r="H510" i="26"/>
  <c r="I510" i="26"/>
  <c r="H511" i="26"/>
  <c r="I511" i="26"/>
  <c r="H512" i="26"/>
  <c r="I512" i="26"/>
  <c r="H513" i="26"/>
  <c r="I513" i="26"/>
  <c r="H514" i="26"/>
  <c r="I514" i="26"/>
  <c r="H515" i="26"/>
  <c r="I515" i="26"/>
  <c r="H516" i="26"/>
  <c r="I516" i="26"/>
  <c r="H517" i="26"/>
  <c r="I517" i="26"/>
  <c r="H518" i="26"/>
  <c r="I518" i="26"/>
  <c r="H519" i="26"/>
  <c r="I519" i="26"/>
  <c r="H520" i="26"/>
  <c r="I520" i="26"/>
  <c r="H521" i="26"/>
  <c r="I521" i="26"/>
  <c r="H522" i="26"/>
  <c r="I522" i="26"/>
  <c r="H523" i="26"/>
  <c r="I523" i="26"/>
  <c r="H524" i="26"/>
  <c r="I524" i="26"/>
  <c r="H525" i="26"/>
  <c r="I525" i="26"/>
  <c r="H526" i="26"/>
  <c r="I526" i="26"/>
  <c r="H527" i="26"/>
  <c r="I527" i="26"/>
  <c r="H528" i="26"/>
  <c r="I528" i="26"/>
  <c r="H529" i="26"/>
  <c r="I529" i="26"/>
  <c r="H530" i="26"/>
  <c r="I530" i="26"/>
  <c r="H531" i="26"/>
  <c r="I531" i="26"/>
  <c r="H532" i="26"/>
  <c r="I532" i="26"/>
  <c r="H533" i="26"/>
  <c r="I533" i="26"/>
  <c r="H534" i="26"/>
  <c r="I534" i="26"/>
  <c r="H535" i="26"/>
  <c r="I535" i="26"/>
  <c r="H536" i="26"/>
  <c r="I536" i="26"/>
  <c r="H537" i="26"/>
  <c r="I537" i="26"/>
  <c r="H538" i="26"/>
  <c r="I538" i="26"/>
  <c r="H539" i="26"/>
  <c r="I539" i="26"/>
  <c r="H540" i="26"/>
  <c r="I540" i="26"/>
  <c r="H541" i="26"/>
  <c r="I541" i="26"/>
  <c r="H542" i="26"/>
  <c r="I542" i="26"/>
  <c r="H543" i="26"/>
  <c r="I543" i="26"/>
  <c r="H544" i="26"/>
  <c r="I544" i="26"/>
  <c r="H545" i="26"/>
  <c r="I545" i="26"/>
  <c r="H546" i="26"/>
  <c r="I546" i="26"/>
  <c r="H547" i="26"/>
  <c r="I547" i="26"/>
  <c r="H548" i="26"/>
  <c r="I548" i="26"/>
  <c r="H549" i="26"/>
  <c r="I549" i="26"/>
  <c r="H550" i="26"/>
  <c r="I550" i="26"/>
  <c r="H551" i="26"/>
  <c r="I551" i="26"/>
  <c r="H552" i="26"/>
  <c r="I552" i="26"/>
  <c r="H553" i="26"/>
  <c r="I553" i="26"/>
  <c r="H554" i="26"/>
  <c r="I554" i="26"/>
  <c r="H555" i="26"/>
  <c r="I555" i="26"/>
  <c r="H556" i="26"/>
  <c r="I556" i="26"/>
  <c r="H557" i="26"/>
  <c r="I557" i="26"/>
  <c r="H558" i="26"/>
  <c r="I558" i="26"/>
  <c r="H559" i="26"/>
  <c r="I559" i="26"/>
  <c r="H560" i="26"/>
  <c r="I560" i="26"/>
  <c r="H561" i="26"/>
  <c r="I561" i="26"/>
  <c r="H562" i="26"/>
  <c r="I562" i="26"/>
  <c r="H563" i="26"/>
  <c r="I563" i="26"/>
  <c r="H564" i="26"/>
  <c r="I564" i="26"/>
  <c r="H565" i="26"/>
  <c r="I565" i="26"/>
  <c r="H566" i="26"/>
  <c r="I566" i="26"/>
  <c r="H567" i="26"/>
  <c r="I567" i="26"/>
  <c r="H568" i="26"/>
  <c r="I568" i="26"/>
  <c r="H569" i="26"/>
  <c r="I569" i="26"/>
  <c r="H570" i="26"/>
  <c r="I570" i="26"/>
  <c r="H571" i="26"/>
  <c r="I571" i="26"/>
  <c r="H572" i="26"/>
  <c r="I572" i="26"/>
  <c r="H573" i="26"/>
  <c r="I573" i="26"/>
  <c r="H574" i="26"/>
  <c r="I574" i="26"/>
  <c r="H575" i="26"/>
  <c r="I575" i="26"/>
  <c r="H576" i="26"/>
  <c r="I576" i="26"/>
  <c r="H577" i="26"/>
  <c r="I577" i="26"/>
  <c r="H578" i="26"/>
  <c r="I578" i="26"/>
  <c r="H579" i="26"/>
  <c r="I579" i="26"/>
  <c r="H580" i="26"/>
  <c r="I580" i="26"/>
  <c r="H581" i="26"/>
  <c r="I581" i="26"/>
  <c r="H582" i="26"/>
  <c r="I582" i="26"/>
  <c r="H583" i="26"/>
  <c r="I583" i="26"/>
  <c r="H585" i="26"/>
  <c r="I585" i="26"/>
  <c r="H586" i="26"/>
  <c r="I586" i="26"/>
  <c r="H587" i="26"/>
  <c r="I587" i="26"/>
  <c r="H588" i="26"/>
  <c r="I588" i="26"/>
  <c r="H589" i="26"/>
  <c r="I589" i="26"/>
  <c r="H590" i="26"/>
  <c r="I590" i="26"/>
  <c r="H591" i="26"/>
  <c r="I591" i="26"/>
  <c r="H592" i="26"/>
  <c r="I592" i="26"/>
  <c r="H593" i="26"/>
  <c r="I593" i="26"/>
  <c r="H594" i="26"/>
  <c r="I594" i="26"/>
  <c r="H595" i="26"/>
  <c r="I595" i="26"/>
  <c r="H596" i="26"/>
  <c r="I596" i="26"/>
  <c r="H597" i="26"/>
  <c r="I597" i="26"/>
  <c r="H598" i="26"/>
  <c r="I598" i="26"/>
  <c r="H599" i="26"/>
  <c r="I599" i="26"/>
  <c r="H600" i="26"/>
  <c r="I600" i="26"/>
  <c r="H601" i="26"/>
  <c r="I601" i="26"/>
  <c r="H602" i="26"/>
  <c r="I602" i="26"/>
  <c r="H603" i="26"/>
  <c r="I603" i="26"/>
  <c r="H604" i="26"/>
  <c r="I604" i="26"/>
  <c r="H605" i="26"/>
  <c r="I605" i="26"/>
  <c r="H606" i="26"/>
  <c r="I606" i="26"/>
  <c r="H607" i="26"/>
  <c r="I607" i="26"/>
  <c r="H608" i="26"/>
  <c r="I608" i="26"/>
  <c r="H609" i="26"/>
  <c r="I609" i="26"/>
  <c r="H610" i="26"/>
  <c r="I610" i="26"/>
  <c r="H611" i="26"/>
  <c r="I611" i="26"/>
  <c r="H612" i="26"/>
  <c r="I612" i="26"/>
  <c r="H613" i="26"/>
  <c r="I613" i="26"/>
  <c r="H614" i="26"/>
  <c r="I614" i="26"/>
  <c r="H615" i="26"/>
  <c r="I615" i="26"/>
  <c r="H616" i="26"/>
  <c r="I616" i="26"/>
  <c r="H617" i="26"/>
  <c r="I617" i="26"/>
  <c r="H618" i="26"/>
  <c r="I618" i="26"/>
  <c r="H619" i="26"/>
  <c r="I619" i="26"/>
  <c r="H620" i="26"/>
  <c r="I620" i="26"/>
  <c r="H621" i="26"/>
  <c r="I621" i="26"/>
  <c r="H622" i="26"/>
  <c r="I622" i="26"/>
  <c r="H623" i="26"/>
  <c r="I623" i="26"/>
  <c r="H624" i="26"/>
  <c r="I624" i="26"/>
  <c r="H625" i="26"/>
  <c r="I625" i="26"/>
  <c r="H626" i="26"/>
  <c r="I626" i="26"/>
  <c r="H627" i="26"/>
  <c r="I627" i="26"/>
  <c r="H628" i="26"/>
  <c r="I628" i="26"/>
  <c r="H629" i="26"/>
  <c r="I629" i="26"/>
  <c r="H630" i="26"/>
  <c r="I630" i="26"/>
  <c r="H631" i="26"/>
  <c r="I631" i="26"/>
  <c r="H632" i="26"/>
  <c r="I632" i="26"/>
  <c r="H633" i="26"/>
  <c r="I633" i="26"/>
  <c r="H634" i="26"/>
  <c r="I634" i="26"/>
  <c r="H635" i="26"/>
  <c r="I635" i="26"/>
  <c r="H636" i="26"/>
  <c r="I636" i="26"/>
  <c r="H637" i="26"/>
  <c r="I637" i="26"/>
  <c r="H638" i="26"/>
  <c r="I638" i="26"/>
  <c r="H639" i="26"/>
  <c r="I639" i="26"/>
  <c r="H640" i="26"/>
  <c r="I640" i="26"/>
  <c r="H641" i="26"/>
  <c r="I641" i="26"/>
  <c r="H642" i="26"/>
  <c r="I642" i="26"/>
  <c r="H643" i="26"/>
  <c r="I643" i="26"/>
  <c r="H644" i="26"/>
  <c r="I644" i="26"/>
  <c r="H645" i="26"/>
  <c r="I645" i="26"/>
  <c r="H646" i="26"/>
  <c r="I646" i="26"/>
  <c r="H647" i="26"/>
  <c r="I647" i="26"/>
  <c r="H648" i="26"/>
  <c r="I648" i="26"/>
  <c r="H649" i="26"/>
  <c r="I649" i="26"/>
  <c r="H650" i="26"/>
  <c r="I650" i="26"/>
  <c r="H651" i="26"/>
  <c r="I651" i="26"/>
  <c r="H652" i="26"/>
  <c r="I652" i="26"/>
  <c r="H653" i="26"/>
  <c r="I653" i="26"/>
  <c r="H654" i="26"/>
  <c r="I654" i="26"/>
  <c r="H655" i="26"/>
  <c r="I655" i="26"/>
  <c r="H656" i="26"/>
  <c r="I656" i="26"/>
  <c r="H657" i="26"/>
  <c r="I657" i="26"/>
  <c r="H659" i="26"/>
  <c r="I659" i="26"/>
  <c r="H660" i="26"/>
  <c r="I660" i="26"/>
  <c r="H661" i="26"/>
  <c r="I661" i="26"/>
  <c r="H662" i="26"/>
  <c r="I662" i="26"/>
  <c r="H663" i="26"/>
  <c r="I663" i="26"/>
  <c r="H664" i="26"/>
  <c r="I664" i="26"/>
  <c r="H665" i="26"/>
  <c r="I665" i="26"/>
  <c r="H666" i="26"/>
  <c r="I666" i="26"/>
  <c r="H667" i="26"/>
  <c r="I667" i="26"/>
  <c r="H668" i="26"/>
  <c r="I668" i="26"/>
  <c r="H669" i="26"/>
  <c r="I669" i="26"/>
  <c r="H670" i="26"/>
  <c r="I670" i="26"/>
  <c r="H671" i="26"/>
  <c r="I671" i="26"/>
  <c r="H672" i="26"/>
  <c r="I672" i="26"/>
  <c r="H673" i="26"/>
  <c r="I673" i="26"/>
  <c r="H674" i="26"/>
  <c r="I674" i="26"/>
  <c r="H675" i="26"/>
  <c r="I675" i="26"/>
  <c r="H676" i="26"/>
  <c r="I676" i="26"/>
  <c r="H677" i="26"/>
  <c r="I677" i="26"/>
  <c r="H678" i="26"/>
  <c r="I678" i="26"/>
  <c r="H679" i="26"/>
  <c r="I679" i="26"/>
  <c r="H680" i="26"/>
  <c r="I680" i="26"/>
  <c r="H681" i="26"/>
  <c r="I681" i="26"/>
  <c r="H682" i="26"/>
  <c r="I682" i="26"/>
  <c r="H683" i="26"/>
  <c r="I683" i="26"/>
  <c r="H684" i="26"/>
  <c r="I684" i="26"/>
  <c r="H685" i="26"/>
  <c r="I685" i="26"/>
  <c r="H686" i="26"/>
  <c r="I686" i="26"/>
  <c r="H687" i="26"/>
  <c r="I687" i="26"/>
  <c r="H688" i="26"/>
  <c r="I688" i="26"/>
  <c r="H689" i="26"/>
  <c r="I689" i="26"/>
  <c r="H690" i="26"/>
  <c r="I690" i="26"/>
  <c r="H691" i="26"/>
  <c r="I691" i="26"/>
  <c r="H692" i="26"/>
  <c r="I692" i="26"/>
  <c r="H693" i="26"/>
  <c r="I693" i="26"/>
  <c r="H694" i="26"/>
  <c r="I694" i="26"/>
  <c r="H695" i="26"/>
  <c r="I695" i="26"/>
  <c r="H696" i="26"/>
  <c r="I696" i="26"/>
  <c r="H697" i="26"/>
  <c r="I697" i="26"/>
  <c r="H698" i="26"/>
  <c r="I698" i="26"/>
  <c r="H699" i="26"/>
  <c r="I699" i="26"/>
  <c r="H700" i="26"/>
  <c r="I700" i="26"/>
  <c r="H701" i="26"/>
  <c r="I701" i="26"/>
  <c r="H702" i="26"/>
  <c r="I702" i="26"/>
  <c r="H703" i="26"/>
  <c r="I703" i="26"/>
  <c r="H704" i="26"/>
  <c r="I704" i="26"/>
  <c r="H705" i="26"/>
  <c r="I705" i="26"/>
  <c r="H706" i="26"/>
  <c r="I706" i="26"/>
  <c r="H707" i="26"/>
  <c r="I707" i="26"/>
  <c r="H708" i="26"/>
  <c r="I708" i="26"/>
  <c r="H709" i="26"/>
  <c r="I709" i="26"/>
  <c r="H710" i="26"/>
  <c r="I710" i="26"/>
  <c r="H711" i="26"/>
  <c r="I711" i="26"/>
  <c r="H712" i="26"/>
  <c r="I712" i="26"/>
  <c r="H713" i="26"/>
  <c r="I713" i="26"/>
  <c r="H714" i="26"/>
  <c r="I714" i="26"/>
  <c r="H715" i="26"/>
  <c r="I715" i="26"/>
  <c r="H716" i="26"/>
  <c r="I716" i="26"/>
  <c r="H717" i="26"/>
  <c r="I717" i="26"/>
  <c r="H718" i="26"/>
  <c r="I718" i="26"/>
  <c r="H719" i="26"/>
  <c r="I719" i="26"/>
  <c r="H720" i="26"/>
  <c r="I720" i="26"/>
  <c r="H721" i="26"/>
  <c r="I721" i="26"/>
  <c r="H722" i="26"/>
  <c r="I722" i="26"/>
  <c r="H723" i="26"/>
  <c r="I723" i="26"/>
  <c r="H724" i="26"/>
  <c r="I724" i="26"/>
  <c r="H725" i="26"/>
  <c r="I725" i="26"/>
  <c r="H726" i="26"/>
  <c r="I726" i="26"/>
  <c r="H727" i="26"/>
  <c r="I727" i="26"/>
  <c r="H728" i="26"/>
  <c r="I728" i="26"/>
  <c r="H729" i="26"/>
  <c r="I729" i="26"/>
  <c r="H730" i="26"/>
  <c r="I730" i="26"/>
  <c r="H731" i="26"/>
  <c r="I731" i="26"/>
  <c r="H732" i="26"/>
  <c r="I732" i="26"/>
  <c r="H733" i="26"/>
  <c r="I733" i="26"/>
  <c r="H734" i="26"/>
  <c r="I734" i="26"/>
  <c r="H735" i="26"/>
  <c r="I735" i="26"/>
  <c r="H736" i="26"/>
  <c r="I736" i="26"/>
  <c r="H737" i="26"/>
  <c r="I737" i="26"/>
  <c r="H738" i="26"/>
  <c r="I738" i="26"/>
  <c r="H739" i="26"/>
  <c r="I739" i="26"/>
  <c r="H740" i="26"/>
  <c r="I740" i="26"/>
  <c r="H741" i="26"/>
  <c r="I741" i="26"/>
  <c r="H742" i="26"/>
  <c r="I742" i="26"/>
  <c r="H743" i="26"/>
  <c r="I743" i="26"/>
  <c r="H744" i="26"/>
  <c r="I744" i="26"/>
  <c r="H745" i="26"/>
  <c r="I745" i="26"/>
  <c r="H746" i="26"/>
  <c r="I746" i="26"/>
  <c r="H747" i="26"/>
  <c r="I747" i="26"/>
  <c r="H748" i="26"/>
  <c r="I748" i="26"/>
  <c r="H749" i="26"/>
  <c r="I749" i="26"/>
  <c r="H750" i="26"/>
  <c r="I750" i="26"/>
  <c r="H751" i="26"/>
  <c r="I751" i="26"/>
  <c r="H752" i="26"/>
  <c r="I752" i="26"/>
  <c r="H754" i="26"/>
  <c r="I754" i="26"/>
  <c r="H755" i="26"/>
  <c r="I755" i="26"/>
  <c r="H756" i="26"/>
  <c r="I756" i="26"/>
  <c r="H757" i="26"/>
  <c r="I757" i="26"/>
  <c r="H758" i="26"/>
  <c r="I758" i="26"/>
  <c r="H760" i="26"/>
  <c r="I760" i="26"/>
  <c r="H761" i="26"/>
  <c r="I761" i="26"/>
  <c r="H762" i="26"/>
  <c r="I762" i="26"/>
  <c r="H763" i="26"/>
  <c r="I763" i="26"/>
  <c r="H764" i="26"/>
  <c r="I764" i="26"/>
  <c r="F3" i="25"/>
  <c r="G3" i="25"/>
  <c r="F4" i="25"/>
  <c r="G4" i="25"/>
  <c r="F5" i="25"/>
  <c r="G5" i="25"/>
  <c r="F6" i="25"/>
  <c r="G6" i="25"/>
  <c r="F7" i="25"/>
  <c r="G7" i="25"/>
  <c r="F9" i="25"/>
  <c r="G9" i="25"/>
  <c r="F10" i="25"/>
  <c r="G10" i="25"/>
  <c r="F11" i="25"/>
  <c r="G11" i="25"/>
  <c r="F12" i="25"/>
  <c r="G12" i="25"/>
  <c r="F13" i="25"/>
  <c r="G13" i="25"/>
  <c r="F14" i="25"/>
  <c r="G14" i="25"/>
  <c r="F15" i="25"/>
  <c r="G15" i="25"/>
  <c r="F16" i="25"/>
  <c r="G16" i="25"/>
  <c r="F17" i="25"/>
  <c r="G17" i="25"/>
  <c r="F18" i="25"/>
  <c r="G18" i="25"/>
  <c r="F19" i="25"/>
  <c r="G19" i="25"/>
  <c r="F20" i="25"/>
  <c r="G20" i="25"/>
  <c r="F21" i="25"/>
  <c r="G21" i="25"/>
  <c r="F22" i="25"/>
  <c r="G22" i="25"/>
  <c r="F23" i="25"/>
  <c r="G23" i="25"/>
  <c r="F24" i="25"/>
  <c r="G24" i="25"/>
  <c r="F25" i="25"/>
  <c r="G25" i="25"/>
  <c r="F27" i="25"/>
  <c r="G27" i="25"/>
  <c r="F28" i="25"/>
  <c r="G28" i="25"/>
  <c r="F29" i="25"/>
  <c r="G29" i="25"/>
  <c r="F30" i="25"/>
  <c r="G30" i="25"/>
  <c r="F31" i="25"/>
  <c r="G31" i="25"/>
  <c r="F32" i="25"/>
  <c r="G32" i="25"/>
  <c r="F33" i="25"/>
  <c r="G33" i="25"/>
  <c r="F34" i="25"/>
  <c r="G34" i="25"/>
  <c r="F35" i="25"/>
  <c r="G35" i="25"/>
  <c r="F36" i="25"/>
  <c r="G36" i="25"/>
  <c r="F38" i="25"/>
  <c r="G38" i="25"/>
  <c r="F39" i="25"/>
  <c r="G39" i="25"/>
  <c r="F40" i="25"/>
  <c r="G40" i="25"/>
  <c r="F41" i="25"/>
  <c r="G41" i="25"/>
  <c r="F43" i="25"/>
  <c r="G43" i="25"/>
  <c r="F44" i="25"/>
  <c r="G44" i="25"/>
  <c r="F45" i="25"/>
  <c r="G45" i="25"/>
  <c r="F46" i="25"/>
  <c r="G46" i="25"/>
  <c r="F47" i="25"/>
  <c r="G47" i="25"/>
  <c r="F48" i="25"/>
  <c r="G48" i="25"/>
  <c r="F49" i="25"/>
  <c r="G49" i="25"/>
  <c r="F50" i="25"/>
  <c r="G50" i="25"/>
  <c r="F51" i="25"/>
  <c r="G51" i="25"/>
  <c r="F52" i="25"/>
  <c r="G52" i="25"/>
  <c r="F53" i="25"/>
  <c r="G53" i="25"/>
  <c r="F54" i="25"/>
  <c r="G54" i="25"/>
  <c r="F55" i="25"/>
  <c r="G55" i="25"/>
  <c r="F56" i="25"/>
  <c r="G56" i="25"/>
  <c r="F57" i="25"/>
  <c r="G57" i="25"/>
  <c r="F58" i="25"/>
  <c r="G58" i="25"/>
  <c r="F59" i="25"/>
  <c r="G59" i="25"/>
  <c r="F60" i="25"/>
  <c r="G60" i="25"/>
  <c r="F61" i="25"/>
  <c r="G61" i="25"/>
  <c r="F62" i="25"/>
  <c r="G62" i="25"/>
  <c r="F63" i="25"/>
  <c r="G63" i="25"/>
  <c r="F64" i="25"/>
  <c r="G64" i="25"/>
  <c r="F65" i="25"/>
  <c r="G65" i="25"/>
  <c r="F66" i="25"/>
  <c r="G66" i="25"/>
  <c r="F67" i="25"/>
  <c r="G67" i="25"/>
  <c r="F68" i="25"/>
  <c r="G68" i="25"/>
  <c r="F69" i="25"/>
  <c r="G69" i="25"/>
  <c r="F70" i="25"/>
  <c r="G70" i="25"/>
  <c r="F71" i="25"/>
  <c r="G71" i="25"/>
  <c r="F72" i="25"/>
  <c r="G72" i="25"/>
  <c r="F73" i="25"/>
  <c r="G73" i="25"/>
  <c r="F74" i="25"/>
  <c r="G74" i="25"/>
  <c r="F75" i="25"/>
  <c r="G75" i="25"/>
  <c r="F76" i="25"/>
  <c r="G76" i="25"/>
  <c r="F77" i="25"/>
  <c r="G77" i="25"/>
  <c r="F78" i="25"/>
  <c r="G78" i="25"/>
  <c r="F79" i="25"/>
  <c r="G79" i="25"/>
  <c r="F80" i="25"/>
  <c r="G80" i="25"/>
  <c r="F81" i="25"/>
  <c r="G81" i="25"/>
  <c r="F82" i="25"/>
  <c r="G82" i="25"/>
  <c r="F83" i="25"/>
  <c r="G83" i="25"/>
  <c r="F84" i="25"/>
  <c r="G84" i="25"/>
  <c r="F85" i="25"/>
  <c r="G85" i="25"/>
  <c r="F86" i="25"/>
  <c r="G86" i="25"/>
  <c r="F87" i="25"/>
  <c r="G87" i="25"/>
  <c r="F88" i="25"/>
  <c r="G88" i="25"/>
  <c r="F89" i="25"/>
  <c r="G89" i="25"/>
  <c r="F90" i="25"/>
  <c r="G90" i="25"/>
  <c r="F91" i="25"/>
  <c r="G91" i="25"/>
  <c r="F92" i="25"/>
  <c r="G92" i="25"/>
  <c r="F93" i="25"/>
  <c r="G93" i="25"/>
  <c r="F94" i="25"/>
  <c r="G94" i="25"/>
  <c r="F95" i="25"/>
  <c r="G95" i="25"/>
  <c r="F96" i="25"/>
  <c r="G96" i="25"/>
  <c r="F97" i="25"/>
  <c r="G97" i="25"/>
  <c r="F98" i="25"/>
  <c r="G98" i="25"/>
  <c r="F99" i="25"/>
  <c r="G99" i="25"/>
  <c r="F100" i="25"/>
  <c r="G100" i="25"/>
  <c r="F101" i="25"/>
  <c r="G101" i="25"/>
  <c r="F103" i="25"/>
  <c r="G103" i="25"/>
  <c r="F104" i="25"/>
  <c r="G104" i="25"/>
  <c r="F105" i="25"/>
  <c r="G105" i="25"/>
  <c r="F106" i="25"/>
  <c r="G106" i="25"/>
  <c r="F107" i="25"/>
  <c r="G107" i="25"/>
  <c r="F108" i="25"/>
  <c r="G108" i="25"/>
  <c r="F109" i="25"/>
  <c r="G109" i="25"/>
  <c r="F110" i="25"/>
  <c r="G110" i="25"/>
  <c r="F112" i="25"/>
  <c r="G112" i="25"/>
  <c r="F113" i="25"/>
  <c r="G113" i="25"/>
  <c r="F114" i="25"/>
  <c r="G114" i="25"/>
  <c r="F115" i="25"/>
  <c r="G115" i="25"/>
  <c r="F116" i="25"/>
  <c r="G116" i="25"/>
  <c r="F117" i="25"/>
  <c r="G117" i="25"/>
  <c r="F118" i="25"/>
  <c r="G118" i="25"/>
  <c r="F119" i="25"/>
  <c r="G119" i="25"/>
  <c r="F120" i="25"/>
  <c r="G120" i="25"/>
  <c r="F122" i="25"/>
  <c r="G122" i="25"/>
  <c r="F123" i="25"/>
  <c r="G123" i="25"/>
  <c r="F124" i="25"/>
  <c r="G124" i="25"/>
  <c r="F125" i="25"/>
  <c r="G125" i="25"/>
  <c r="F126" i="25"/>
  <c r="G126" i="25"/>
  <c r="F127" i="25"/>
  <c r="G127" i="25"/>
  <c r="F128" i="25"/>
  <c r="G128" i="25"/>
  <c r="F129" i="25"/>
  <c r="G129" i="25"/>
  <c r="F130" i="25"/>
  <c r="G130" i="25"/>
  <c r="F131" i="25"/>
  <c r="G131" i="25"/>
  <c r="F132" i="25"/>
  <c r="G132" i="25"/>
  <c r="F133" i="25"/>
  <c r="G133" i="25"/>
  <c r="F134" i="25"/>
  <c r="G134" i="25"/>
  <c r="F135" i="25"/>
  <c r="G135" i="25"/>
  <c r="F136" i="25"/>
  <c r="G136" i="25"/>
  <c r="F137" i="25"/>
  <c r="G137" i="25"/>
  <c r="F138" i="25"/>
  <c r="G138" i="25"/>
  <c r="F139" i="25"/>
  <c r="G139" i="25"/>
  <c r="F140" i="25"/>
  <c r="G140" i="25"/>
  <c r="F142" i="25"/>
  <c r="G142" i="25"/>
  <c r="F143" i="25"/>
  <c r="G143" i="25"/>
  <c r="F144" i="25"/>
  <c r="G144" i="25"/>
  <c r="F145" i="25"/>
  <c r="G145" i="25"/>
  <c r="F146" i="25"/>
  <c r="G146" i="25"/>
  <c r="F148" i="25"/>
  <c r="G148" i="25"/>
  <c r="F149" i="25"/>
  <c r="G149" i="25"/>
  <c r="F150" i="25"/>
  <c r="G150" i="25"/>
  <c r="F151" i="25"/>
  <c r="G151" i="25"/>
  <c r="F152" i="25"/>
  <c r="G152" i="25"/>
  <c r="F153" i="25"/>
  <c r="G153" i="25"/>
  <c r="F154" i="25"/>
  <c r="G154" i="25"/>
  <c r="F155" i="25"/>
  <c r="G155" i="25"/>
  <c r="F156" i="25"/>
  <c r="G156" i="25"/>
  <c r="F157" i="25"/>
  <c r="G157" i="25"/>
  <c r="F158" i="25"/>
  <c r="G158" i="25"/>
  <c r="F159" i="25"/>
  <c r="G159" i="25"/>
  <c r="F160" i="25"/>
  <c r="G160" i="25"/>
  <c r="F161" i="25"/>
  <c r="G161" i="25"/>
  <c r="F162" i="25"/>
  <c r="G162" i="25"/>
  <c r="F163" i="25"/>
  <c r="G163" i="25"/>
  <c r="F164" i="25"/>
  <c r="G164" i="25"/>
  <c r="F165" i="25"/>
  <c r="G165" i="25"/>
  <c r="F166" i="25"/>
  <c r="G166" i="25"/>
  <c r="F167" i="25"/>
  <c r="G167" i="25"/>
  <c r="F168" i="25"/>
  <c r="G168" i="25"/>
  <c r="F169" i="25"/>
  <c r="G169" i="25"/>
  <c r="F170" i="25"/>
  <c r="G170" i="25"/>
  <c r="F171" i="25"/>
  <c r="G171" i="25"/>
  <c r="F172" i="25"/>
  <c r="G172" i="25"/>
  <c r="F173" i="25"/>
  <c r="G173" i="25"/>
  <c r="F174" i="25"/>
  <c r="G174" i="25"/>
  <c r="F175" i="25"/>
  <c r="G175" i="25"/>
  <c r="F176" i="25"/>
  <c r="G176" i="25"/>
  <c r="F177" i="25"/>
  <c r="G177" i="25"/>
  <c r="F178" i="25"/>
  <c r="G178" i="25"/>
  <c r="F179" i="25"/>
  <c r="G179" i="25"/>
  <c r="F180" i="25"/>
  <c r="G180" i="25"/>
  <c r="F181" i="25"/>
  <c r="G181" i="25"/>
  <c r="F182" i="25"/>
  <c r="G182" i="25"/>
  <c r="F183" i="25"/>
  <c r="G183" i="25"/>
  <c r="F184" i="25"/>
  <c r="G184" i="25"/>
  <c r="F185" i="25"/>
  <c r="G185" i="25"/>
  <c r="F187" i="25"/>
  <c r="G187" i="25"/>
  <c r="F188" i="25"/>
  <c r="G188" i="25"/>
  <c r="F189" i="25"/>
  <c r="G189" i="25"/>
  <c r="F190" i="25"/>
  <c r="G190" i="25"/>
  <c r="F191" i="25"/>
  <c r="G191" i="25"/>
  <c r="F192" i="25"/>
  <c r="G192" i="25"/>
  <c r="F193" i="25"/>
  <c r="G193" i="25"/>
  <c r="F194" i="25"/>
  <c r="G194" i="25"/>
  <c r="F196" i="25"/>
  <c r="G196" i="25"/>
  <c r="F197" i="25"/>
  <c r="G197" i="25"/>
  <c r="F198" i="25"/>
  <c r="G198" i="25"/>
  <c r="F199" i="25"/>
  <c r="G199" i="25"/>
  <c r="F200" i="25"/>
  <c r="G200" i="25"/>
  <c r="F201" i="25"/>
  <c r="G201" i="25"/>
  <c r="F202" i="25"/>
  <c r="G202" i="25"/>
  <c r="F203" i="25"/>
  <c r="G203" i="25"/>
  <c r="F204" i="25"/>
  <c r="G204" i="25"/>
  <c r="F205" i="25"/>
  <c r="G205" i="25"/>
  <c r="F206" i="25"/>
  <c r="G206" i="25"/>
  <c r="F207" i="25"/>
  <c r="G207" i="25"/>
  <c r="F208" i="25"/>
  <c r="G208" i="25"/>
  <c r="F209" i="25"/>
  <c r="G209" i="25"/>
  <c r="F210" i="25"/>
  <c r="G210" i="25"/>
  <c r="F211" i="25"/>
  <c r="G211" i="25"/>
  <c r="F212" i="25"/>
  <c r="G212" i="25"/>
  <c r="F213" i="25"/>
  <c r="G213" i="25"/>
  <c r="F214" i="25"/>
  <c r="G214" i="25"/>
  <c r="F215" i="25"/>
  <c r="G215" i="25"/>
  <c r="F216" i="25"/>
  <c r="G216" i="25"/>
  <c r="F217" i="25"/>
  <c r="G217" i="25"/>
  <c r="F218" i="25"/>
  <c r="G218" i="25"/>
  <c r="F219" i="25"/>
  <c r="G219" i="25"/>
  <c r="F220" i="25"/>
  <c r="G220" i="25"/>
  <c r="F221" i="25"/>
  <c r="G221" i="25"/>
  <c r="F222" i="25"/>
  <c r="G222" i="25"/>
  <c r="F223" i="25"/>
  <c r="G223" i="25"/>
  <c r="F224" i="25"/>
  <c r="G224" i="25"/>
  <c r="F225" i="25"/>
  <c r="G225" i="25"/>
  <c r="F226" i="25"/>
  <c r="G226" i="25"/>
  <c r="F227" i="25"/>
  <c r="G227" i="25"/>
  <c r="F228" i="25"/>
  <c r="G228" i="25"/>
  <c r="F229" i="25"/>
  <c r="G229" i="25"/>
  <c r="F230" i="25"/>
  <c r="G230" i="25"/>
  <c r="F231" i="25"/>
  <c r="G231" i="25"/>
  <c r="F232" i="25"/>
  <c r="G232" i="25"/>
  <c r="F233" i="25"/>
  <c r="G233" i="25"/>
  <c r="F234" i="25"/>
  <c r="G234" i="25"/>
  <c r="F235" i="25"/>
  <c r="G235" i="25"/>
  <c r="F236" i="25"/>
  <c r="G236" i="25"/>
  <c r="F237" i="25"/>
  <c r="G237" i="25"/>
  <c r="F238" i="25"/>
  <c r="G238" i="25"/>
  <c r="F239" i="25"/>
  <c r="G239" i="25"/>
  <c r="F240" i="25"/>
  <c r="G240" i="25"/>
  <c r="F241" i="25"/>
  <c r="G241" i="25"/>
  <c r="F242" i="25"/>
  <c r="G242" i="25"/>
  <c r="F243" i="25"/>
  <c r="G243" i="25"/>
  <c r="F244" i="25"/>
  <c r="G244" i="25"/>
  <c r="F245" i="25"/>
  <c r="G245" i="25"/>
  <c r="F246" i="25"/>
  <c r="G246" i="25"/>
  <c r="F247" i="25"/>
  <c r="G247" i="25"/>
  <c r="F248" i="25"/>
  <c r="G248" i="25"/>
  <c r="F249" i="25"/>
  <c r="G249" i="25"/>
  <c r="F250" i="25"/>
  <c r="G250" i="25"/>
  <c r="F251" i="25"/>
  <c r="G251" i="25"/>
  <c r="F252" i="25"/>
  <c r="G252" i="25"/>
  <c r="F253" i="25"/>
  <c r="G253" i="25"/>
  <c r="F254" i="25"/>
  <c r="G254" i="25"/>
  <c r="F255" i="25"/>
  <c r="G255" i="25"/>
  <c r="F256" i="25"/>
  <c r="G256" i="25"/>
  <c r="F257" i="25"/>
  <c r="G257" i="25"/>
  <c r="F258" i="25"/>
  <c r="G258" i="25"/>
  <c r="F259" i="25"/>
  <c r="G259" i="25"/>
  <c r="F260" i="25"/>
  <c r="G260" i="25"/>
  <c r="F261" i="25"/>
  <c r="G261" i="25"/>
  <c r="F262" i="25"/>
  <c r="G262" i="25"/>
  <c r="F263" i="25"/>
  <c r="G263" i="25"/>
  <c r="F264" i="25"/>
  <c r="G264" i="25"/>
  <c r="F265" i="25"/>
  <c r="G265" i="25"/>
  <c r="F266" i="25"/>
  <c r="G266" i="25"/>
  <c r="F267" i="25"/>
  <c r="G267" i="25"/>
  <c r="F268" i="25"/>
  <c r="G268" i="25"/>
  <c r="F269" i="25"/>
  <c r="G269" i="25"/>
  <c r="F270" i="25"/>
  <c r="G270" i="25"/>
  <c r="F271" i="25"/>
  <c r="G271" i="25"/>
  <c r="F272" i="25"/>
  <c r="G272" i="25"/>
  <c r="F273" i="25"/>
  <c r="G273" i="25"/>
  <c r="F274" i="25"/>
  <c r="G274" i="25"/>
  <c r="F275" i="25"/>
  <c r="G275" i="25"/>
  <c r="F276" i="25"/>
  <c r="G276" i="25"/>
  <c r="F277" i="25"/>
  <c r="G277" i="25"/>
  <c r="F278" i="25"/>
  <c r="G278" i="25"/>
  <c r="F279" i="25"/>
  <c r="G279" i="25"/>
  <c r="F280" i="25"/>
  <c r="G280" i="25"/>
  <c r="F281" i="25"/>
  <c r="G281" i="25"/>
  <c r="F282" i="25"/>
  <c r="G282" i="25"/>
  <c r="F283" i="25"/>
  <c r="G283" i="25"/>
  <c r="F284" i="25"/>
  <c r="G284" i="25"/>
  <c r="F285" i="25"/>
  <c r="G285" i="25"/>
  <c r="F286" i="25"/>
  <c r="G286" i="25"/>
  <c r="F287" i="25"/>
  <c r="G287" i="25"/>
  <c r="F288" i="25"/>
  <c r="G288" i="25"/>
  <c r="F289" i="25"/>
  <c r="G289" i="25"/>
  <c r="F290" i="25"/>
  <c r="G290" i="25"/>
  <c r="F291" i="25"/>
  <c r="G291" i="25"/>
  <c r="F292" i="25"/>
  <c r="G292" i="25"/>
  <c r="F293" i="25"/>
  <c r="G293" i="25"/>
  <c r="F294" i="25"/>
  <c r="G294" i="25"/>
  <c r="F295" i="25"/>
  <c r="G295" i="25"/>
  <c r="F296" i="25"/>
  <c r="G296" i="25"/>
  <c r="F297" i="25"/>
  <c r="G297" i="25"/>
  <c r="F298" i="25"/>
  <c r="G298" i="25"/>
  <c r="F299" i="25"/>
  <c r="G299" i="25"/>
  <c r="F300" i="25"/>
  <c r="G300" i="25"/>
  <c r="F301" i="25"/>
  <c r="G301" i="25"/>
  <c r="F302" i="25"/>
  <c r="G302" i="25"/>
  <c r="F303" i="25"/>
  <c r="G303" i="25"/>
  <c r="F304" i="25"/>
  <c r="G304" i="25"/>
  <c r="F305" i="25"/>
  <c r="G305" i="25"/>
  <c r="F306" i="25"/>
  <c r="G306" i="25"/>
  <c r="F307" i="25"/>
  <c r="G307" i="25"/>
  <c r="F308" i="25"/>
  <c r="G308" i="25"/>
  <c r="F309" i="25"/>
  <c r="G309" i="25"/>
  <c r="F310" i="25"/>
  <c r="G310" i="25"/>
  <c r="F311" i="25"/>
  <c r="G311" i="25"/>
  <c r="F312" i="25"/>
  <c r="G312" i="25"/>
  <c r="F313" i="25"/>
  <c r="G313" i="25"/>
  <c r="F314" i="25"/>
  <c r="G314" i="25"/>
  <c r="F315" i="25"/>
  <c r="G315" i="25"/>
  <c r="F316" i="25"/>
  <c r="G316" i="25"/>
  <c r="F317" i="25"/>
  <c r="G317" i="25"/>
  <c r="F318" i="25"/>
  <c r="G318" i="25"/>
  <c r="F319" i="25"/>
  <c r="G319" i="25"/>
  <c r="F320" i="25"/>
  <c r="G320" i="25"/>
  <c r="F321" i="25"/>
  <c r="G321" i="25"/>
  <c r="F322" i="25"/>
  <c r="G322" i="25"/>
  <c r="F323" i="25"/>
  <c r="G323" i="25"/>
  <c r="F324" i="25"/>
  <c r="G324" i="25"/>
  <c r="F325" i="25"/>
  <c r="G325" i="25"/>
  <c r="F326" i="25"/>
  <c r="G326" i="25"/>
  <c r="F327" i="25"/>
  <c r="G327" i="25"/>
  <c r="F328" i="25"/>
  <c r="G328" i="25"/>
  <c r="F329" i="25"/>
  <c r="G329" i="25"/>
  <c r="F330" i="25"/>
  <c r="G330" i="25"/>
  <c r="F331" i="25"/>
  <c r="G331" i="25"/>
  <c r="F332" i="25"/>
  <c r="G332" i="25"/>
  <c r="F333" i="25"/>
  <c r="G333" i="25"/>
  <c r="F334" i="25"/>
  <c r="G334" i="25"/>
  <c r="F335" i="25"/>
  <c r="G335" i="25"/>
  <c r="F336" i="25"/>
  <c r="G336" i="25"/>
  <c r="F337" i="25"/>
  <c r="G337" i="25"/>
  <c r="F338" i="25"/>
  <c r="G338" i="25"/>
  <c r="F339" i="25"/>
  <c r="G339" i="25"/>
  <c r="F340" i="25"/>
  <c r="G340" i="25"/>
  <c r="F341" i="25"/>
  <c r="G341" i="25"/>
  <c r="F342" i="25"/>
  <c r="G342" i="25"/>
  <c r="F343" i="25"/>
  <c r="G343" i="25"/>
  <c r="F344" i="25"/>
  <c r="G344" i="25"/>
  <c r="F345" i="25"/>
  <c r="G345" i="25"/>
  <c r="F346" i="25"/>
  <c r="G346" i="25"/>
  <c r="F348" i="25"/>
  <c r="G348" i="25"/>
  <c r="F349" i="25"/>
  <c r="G349" i="25"/>
  <c r="F350" i="25"/>
  <c r="G350" i="25"/>
  <c r="F351" i="25"/>
  <c r="G351" i="25"/>
  <c r="F352" i="25"/>
  <c r="G352" i="25"/>
  <c r="F353" i="25"/>
  <c r="G353" i="25"/>
  <c r="F354" i="25"/>
  <c r="G354" i="25"/>
  <c r="F356" i="25"/>
  <c r="G356" i="25"/>
  <c r="F357" i="25"/>
  <c r="G357" i="25"/>
  <c r="F358" i="25"/>
  <c r="G358" i="25"/>
  <c r="F359" i="25"/>
  <c r="G359" i="25"/>
  <c r="F360" i="25"/>
  <c r="G360" i="25"/>
  <c r="F361" i="25"/>
  <c r="G361" i="25"/>
  <c r="F362" i="25"/>
  <c r="G362" i="25"/>
  <c r="F363" i="25"/>
  <c r="G363" i="25"/>
  <c r="F364" i="25"/>
  <c r="G364" i="25"/>
  <c r="F365" i="25"/>
  <c r="G365" i="25"/>
  <c r="F366" i="25"/>
  <c r="G366" i="25"/>
  <c r="F367" i="25"/>
  <c r="G367" i="25"/>
  <c r="F368" i="25"/>
  <c r="G368" i="25"/>
  <c r="F369" i="25"/>
  <c r="G369" i="25"/>
  <c r="F370" i="25"/>
  <c r="G370" i="25"/>
  <c r="F371" i="25"/>
  <c r="G371" i="25"/>
  <c r="F372" i="25"/>
  <c r="G372" i="25"/>
  <c r="F373" i="25"/>
  <c r="G373" i="25"/>
  <c r="F374" i="25"/>
  <c r="G374" i="25"/>
  <c r="F375" i="25"/>
  <c r="G375" i="25"/>
  <c r="F376" i="25"/>
  <c r="G376" i="25"/>
  <c r="F377" i="25"/>
  <c r="G377" i="25"/>
  <c r="F378" i="25"/>
  <c r="G378" i="25"/>
  <c r="F379" i="25"/>
  <c r="G379" i="25"/>
  <c r="F380" i="25"/>
  <c r="G380" i="25"/>
  <c r="F381" i="25"/>
  <c r="G381" i="25"/>
  <c r="F382" i="25"/>
  <c r="G382" i="25"/>
  <c r="F383" i="25"/>
  <c r="G383" i="25"/>
  <c r="F384" i="25"/>
  <c r="G384" i="25"/>
  <c r="F385" i="25"/>
  <c r="G385" i="25"/>
  <c r="F386" i="25"/>
  <c r="G386" i="25"/>
  <c r="F387" i="25"/>
  <c r="G387" i="25"/>
  <c r="F388" i="25"/>
  <c r="G388" i="25"/>
  <c r="F389" i="25"/>
  <c r="G389" i="25"/>
  <c r="F390" i="25"/>
  <c r="G390" i="25"/>
  <c r="F391" i="25"/>
  <c r="G391" i="25"/>
  <c r="F392" i="25"/>
  <c r="G392" i="25"/>
  <c r="F393" i="25"/>
  <c r="G393" i="25"/>
  <c r="F394" i="25"/>
  <c r="G394" i="25"/>
  <c r="F395" i="25"/>
  <c r="G395" i="25"/>
  <c r="F396" i="25"/>
  <c r="G396" i="25"/>
  <c r="F397" i="25"/>
  <c r="G397" i="25"/>
  <c r="F398" i="25"/>
  <c r="G398" i="25"/>
  <c r="F399" i="25"/>
  <c r="G399" i="25"/>
  <c r="F400" i="25"/>
  <c r="G400" i="25"/>
  <c r="F401" i="25"/>
  <c r="G401" i="25"/>
  <c r="F402" i="25"/>
  <c r="G402" i="25"/>
  <c r="F403" i="25"/>
  <c r="G403" i="25"/>
  <c r="F404" i="25"/>
  <c r="G404" i="25"/>
  <c r="F405" i="25"/>
  <c r="G405" i="25"/>
  <c r="F406" i="25"/>
  <c r="G406" i="25"/>
  <c r="F408" i="25"/>
  <c r="G408" i="25"/>
  <c r="F409" i="25"/>
  <c r="G409" i="25"/>
  <c r="F410" i="25"/>
  <c r="G410" i="25"/>
  <c r="F411" i="25"/>
  <c r="G411" i="25"/>
  <c r="F412" i="25"/>
  <c r="G412" i="25"/>
  <c r="F413" i="25"/>
  <c r="G413" i="25"/>
  <c r="F414" i="25"/>
  <c r="G414" i="25"/>
  <c r="F415" i="25"/>
  <c r="G415" i="25"/>
  <c r="F416" i="25"/>
  <c r="G416" i="25"/>
  <c r="F417" i="25"/>
  <c r="G417" i="25"/>
  <c r="F418" i="25"/>
  <c r="G418" i="25"/>
  <c r="F419" i="25"/>
  <c r="G419" i="25"/>
  <c r="F420" i="25"/>
  <c r="G420" i="25"/>
  <c r="F421" i="25"/>
  <c r="G421" i="25"/>
  <c r="F422" i="25"/>
  <c r="G422" i="25"/>
  <c r="F423" i="25"/>
  <c r="G423" i="25"/>
  <c r="F424" i="25"/>
  <c r="G424" i="25"/>
  <c r="F425" i="25"/>
  <c r="G425" i="25"/>
  <c r="F426" i="25"/>
  <c r="G426" i="25"/>
  <c r="F427" i="25"/>
  <c r="G427" i="25"/>
  <c r="F428" i="25"/>
  <c r="G428" i="25"/>
  <c r="F430" i="25"/>
  <c r="G430" i="25"/>
  <c r="F431" i="25"/>
  <c r="G431" i="25"/>
  <c r="F432" i="25"/>
  <c r="G432" i="25"/>
  <c r="F433" i="25"/>
  <c r="G433" i="25"/>
  <c r="F435" i="25"/>
  <c r="G435" i="25"/>
  <c r="F436" i="25"/>
  <c r="G436" i="25"/>
  <c r="F437" i="25"/>
  <c r="G437" i="25"/>
  <c r="F438" i="25"/>
  <c r="G438" i="25"/>
  <c r="F439" i="25"/>
  <c r="G439" i="25"/>
  <c r="F440" i="25"/>
  <c r="G440" i="25"/>
  <c r="F441" i="25"/>
  <c r="G441" i="25"/>
  <c r="F442" i="25"/>
  <c r="G442" i="25"/>
  <c r="F443" i="25"/>
  <c r="G443" i="25"/>
  <c r="F444" i="25"/>
  <c r="G444" i="25"/>
  <c r="F445" i="25"/>
  <c r="G445" i="25"/>
  <c r="F446" i="25"/>
  <c r="G446" i="25"/>
  <c r="F447" i="25"/>
  <c r="G447" i="25"/>
  <c r="F448" i="25"/>
  <c r="G448" i="25"/>
  <c r="F449" i="25"/>
  <c r="G449" i="25"/>
  <c r="F450" i="25"/>
  <c r="G450" i="25"/>
  <c r="F451" i="25"/>
  <c r="G451" i="25"/>
  <c r="F452" i="25"/>
  <c r="G452" i="25"/>
  <c r="F453" i="25"/>
  <c r="G453" i="25"/>
  <c r="F454" i="25"/>
  <c r="G454" i="25"/>
  <c r="F455" i="25"/>
  <c r="G455" i="25"/>
  <c r="F456" i="25"/>
  <c r="G456" i="25"/>
  <c r="F457" i="25"/>
  <c r="G457" i="25"/>
  <c r="F458" i="25"/>
  <c r="G458" i="25"/>
  <c r="F459" i="25"/>
  <c r="G459" i="25"/>
  <c r="F460" i="25"/>
  <c r="G460" i="25"/>
  <c r="F461" i="25"/>
  <c r="G461" i="25"/>
  <c r="F462" i="25"/>
  <c r="G462" i="25"/>
  <c r="F463" i="25"/>
  <c r="G463" i="25"/>
  <c r="F464" i="25"/>
  <c r="G464" i="25"/>
  <c r="F465" i="25"/>
  <c r="G465" i="25"/>
  <c r="F466" i="25"/>
  <c r="G466" i="25"/>
  <c r="F467" i="25"/>
  <c r="G467" i="25"/>
  <c r="F468" i="25"/>
  <c r="G468" i="25"/>
  <c r="F469" i="25"/>
  <c r="G469" i="25"/>
  <c r="F470" i="25"/>
  <c r="G470" i="25"/>
  <c r="F471" i="25"/>
  <c r="G471" i="25"/>
  <c r="F472" i="25"/>
  <c r="G472" i="25"/>
  <c r="F473" i="25"/>
  <c r="G473" i="25"/>
  <c r="F474" i="25"/>
  <c r="G474" i="25"/>
  <c r="F475" i="25"/>
  <c r="G475" i="25"/>
  <c r="F476" i="25"/>
  <c r="G476" i="25"/>
  <c r="F477" i="25"/>
  <c r="G477" i="25"/>
  <c r="F478" i="25"/>
  <c r="G478" i="25"/>
  <c r="F480" i="25"/>
  <c r="G480" i="25"/>
  <c r="F481" i="25"/>
  <c r="G481" i="25"/>
  <c r="F482" i="25"/>
  <c r="G482" i="25"/>
  <c r="F483" i="25"/>
  <c r="G483" i="25"/>
  <c r="F484" i="25"/>
  <c r="G484" i="25"/>
  <c r="F485" i="25"/>
  <c r="G485" i="25"/>
  <c r="F486" i="25"/>
  <c r="G486" i="25"/>
  <c r="F487" i="25"/>
  <c r="G487" i="25"/>
  <c r="F488" i="25"/>
  <c r="G488" i="25"/>
  <c r="F489" i="25"/>
  <c r="G489" i="25"/>
  <c r="F490" i="25"/>
  <c r="G490" i="25"/>
  <c r="F491" i="25"/>
  <c r="G491" i="25"/>
  <c r="F492" i="25"/>
  <c r="G492" i="25"/>
  <c r="F493" i="25"/>
  <c r="G493" i="25"/>
  <c r="F494" i="25"/>
  <c r="G494" i="25"/>
  <c r="F495" i="25"/>
  <c r="G495" i="25"/>
  <c r="F497" i="25"/>
  <c r="G497" i="25"/>
  <c r="F498" i="25"/>
  <c r="G498" i="25"/>
  <c r="F499" i="25"/>
  <c r="G499" i="25"/>
  <c r="F500" i="25"/>
  <c r="G500" i="25"/>
  <c r="F501" i="25"/>
  <c r="G501" i="25"/>
  <c r="F502" i="25"/>
  <c r="G502" i="25"/>
  <c r="F503" i="25"/>
  <c r="G503" i="25"/>
  <c r="F504" i="25"/>
  <c r="G504" i="25"/>
  <c r="F505" i="25"/>
  <c r="G505" i="25"/>
  <c r="F506" i="25"/>
  <c r="G506" i="25"/>
  <c r="F507" i="25"/>
  <c r="G507" i="25"/>
  <c r="F508" i="25"/>
  <c r="G508" i="25"/>
  <c r="F509" i="25"/>
  <c r="G509" i="25"/>
  <c r="F510" i="25"/>
  <c r="G510" i="25"/>
  <c r="F511" i="25"/>
  <c r="G511" i="25"/>
  <c r="F512" i="25"/>
  <c r="G512" i="25"/>
  <c r="F513" i="25"/>
  <c r="G513" i="25"/>
  <c r="F514" i="25"/>
  <c r="G514" i="25"/>
  <c r="F515" i="25"/>
  <c r="G515" i="25"/>
  <c r="F516" i="25"/>
  <c r="G516" i="25"/>
  <c r="F517" i="25"/>
  <c r="G517" i="25"/>
  <c r="F518" i="25"/>
  <c r="G518" i="25"/>
  <c r="F519" i="25"/>
  <c r="G519" i="25"/>
  <c r="F520" i="25"/>
  <c r="G520" i="25"/>
  <c r="F521" i="25"/>
  <c r="G521" i="25"/>
  <c r="F522" i="25"/>
  <c r="G522" i="25"/>
  <c r="F523" i="25"/>
  <c r="G523" i="25"/>
  <c r="F524" i="25"/>
  <c r="G524" i="25"/>
  <c r="F525" i="25"/>
  <c r="G525" i="25"/>
  <c r="F526" i="25"/>
  <c r="G526" i="25"/>
  <c r="F527" i="25"/>
  <c r="G527" i="25"/>
  <c r="F528" i="25"/>
  <c r="G528" i="25"/>
  <c r="F529" i="25"/>
  <c r="G529" i="25"/>
  <c r="F530" i="25"/>
  <c r="G530" i="25"/>
  <c r="F531" i="25"/>
  <c r="G531" i="25"/>
  <c r="F532" i="25"/>
  <c r="G532" i="25"/>
  <c r="F533" i="25"/>
  <c r="G533" i="25"/>
  <c r="F534" i="25"/>
  <c r="G534" i="25"/>
  <c r="F535" i="25"/>
  <c r="G535" i="25"/>
  <c r="F536" i="25"/>
  <c r="G536" i="25"/>
  <c r="F537" i="25"/>
  <c r="G537" i="25"/>
  <c r="F538" i="25"/>
  <c r="G538" i="25"/>
  <c r="F539" i="25"/>
  <c r="G539" i="25"/>
  <c r="F540" i="25"/>
  <c r="G540" i="25"/>
  <c r="F541" i="25"/>
  <c r="G541" i="25"/>
  <c r="F542" i="25"/>
  <c r="G542" i="25"/>
  <c r="F543" i="25"/>
  <c r="G543" i="25"/>
  <c r="F544" i="25"/>
  <c r="G544" i="25"/>
  <c r="F545" i="25"/>
  <c r="G545" i="25"/>
  <c r="F546" i="25"/>
  <c r="G546" i="25"/>
  <c r="F547" i="25"/>
  <c r="G547" i="25"/>
  <c r="F548" i="25"/>
  <c r="G548" i="25"/>
  <c r="F549" i="25"/>
  <c r="G549" i="25"/>
  <c r="F550" i="25"/>
  <c r="G550" i="25"/>
  <c r="F551" i="25"/>
  <c r="G551" i="25"/>
  <c r="F552" i="25"/>
  <c r="G552" i="25"/>
  <c r="F553" i="25"/>
  <c r="G553" i="25"/>
  <c r="F554" i="25"/>
  <c r="G554" i="25"/>
  <c r="F555" i="25"/>
  <c r="G555" i="25"/>
  <c r="F556" i="25"/>
  <c r="G556" i="25"/>
  <c r="F557" i="25"/>
  <c r="G557" i="25"/>
  <c r="F558" i="25"/>
  <c r="G558" i="25"/>
  <c r="F559" i="25"/>
  <c r="G559" i="25"/>
  <c r="F560" i="25"/>
  <c r="G560" i="25"/>
  <c r="F561" i="25"/>
  <c r="G561" i="25"/>
  <c r="F562" i="25"/>
  <c r="G562" i="25"/>
  <c r="F563" i="25"/>
  <c r="G563" i="25"/>
  <c r="F564" i="25"/>
  <c r="G564" i="25"/>
  <c r="F565" i="25"/>
  <c r="G565" i="25"/>
  <c r="F566" i="25"/>
  <c r="G566" i="25"/>
  <c r="F567" i="25"/>
  <c r="G567" i="25"/>
  <c r="F568" i="25"/>
  <c r="G568" i="25"/>
  <c r="F569" i="25"/>
  <c r="G569" i="25"/>
  <c r="F570" i="25"/>
  <c r="G570" i="25"/>
  <c r="F571" i="25"/>
  <c r="G571" i="25"/>
  <c r="F572" i="25"/>
  <c r="G572" i="25"/>
  <c r="F573" i="25"/>
  <c r="G573" i="25"/>
  <c r="F574" i="25"/>
  <c r="G574" i="25"/>
  <c r="F575" i="25"/>
  <c r="G575" i="25"/>
  <c r="F576" i="25"/>
  <c r="G576" i="25"/>
  <c r="F577" i="25"/>
  <c r="G577" i="25"/>
  <c r="F578" i="25"/>
  <c r="G578" i="25"/>
  <c r="F579" i="25"/>
  <c r="G579" i="25"/>
  <c r="F580" i="25"/>
  <c r="G580" i="25"/>
  <c r="F581" i="25"/>
  <c r="G581" i="25"/>
  <c r="F582" i="25"/>
  <c r="G582" i="25"/>
  <c r="F583" i="25"/>
  <c r="G583" i="25"/>
  <c r="F584" i="25"/>
  <c r="G584" i="25"/>
  <c r="F586" i="25"/>
  <c r="G586" i="25"/>
  <c r="F587" i="25"/>
  <c r="G587" i="25"/>
  <c r="F588" i="25"/>
  <c r="G588" i="25"/>
  <c r="F589" i="25"/>
  <c r="G589" i="25"/>
  <c r="F590" i="25"/>
  <c r="G590" i="25"/>
  <c r="F591" i="25"/>
  <c r="G591" i="25"/>
  <c r="F592" i="25"/>
  <c r="G592" i="25"/>
  <c r="F593" i="25"/>
  <c r="G593" i="25"/>
  <c r="F594" i="25"/>
  <c r="G594" i="25"/>
  <c r="F595" i="25"/>
  <c r="G595" i="25"/>
  <c r="F596" i="25"/>
  <c r="G596" i="25"/>
  <c r="F597" i="25"/>
  <c r="G597" i="25"/>
  <c r="F598" i="25"/>
  <c r="G598" i="25"/>
  <c r="F599" i="25"/>
  <c r="G599" i="25"/>
  <c r="F600" i="25"/>
  <c r="G600" i="25"/>
  <c r="F601" i="25"/>
  <c r="G601" i="25"/>
  <c r="F602" i="25"/>
  <c r="G602" i="25"/>
  <c r="F603" i="25"/>
  <c r="G603" i="25"/>
  <c r="F604" i="25"/>
  <c r="G604" i="25"/>
  <c r="F605" i="25"/>
  <c r="G605" i="25"/>
  <c r="F606" i="25"/>
  <c r="G606" i="25"/>
  <c r="F607" i="25"/>
  <c r="G607" i="25"/>
  <c r="F608" i="25"/>
  <c r="G608" i="25"/>
  <c r="F609" i="25"/>
  <c r="G609" i="25"/>
  <c r="F610" i="25"/>
  <c r="G610" i="25"/>
  <c r="F611" i="25"/>
  <c r="G611" i="25"/>
  <c r="F612" i="25"/>
  <c r="G612" i="25"/>
  <c r="F613" i="25"/>
  <c r="G613" i="25"/>
  <c r="F614" i="25"/>
  <c r="G614" i="25"/>
  <c r="F615" i="25"/>
  <c r="G615" i="25"/>
  <c r="F616" i="25"/>
  <c r="G616" i="25"/>
  <c r="F617" i="25"/>
  <c r="G617" i="25"/>
  <c r="F618" i="25"/>
  <c r="G618" i="25"/>
  <c r="F619" i="25"/>
  <c r="G619" i="25"/>
  <c r="F620" i="25"/>
  <c r="G620" i="25"/>
  <c r="F621" i="25"/>
  <c r="G621" i="25"/>
  <c r="F622" i="25"/>
  <c r="G622" i="25"/>
  <c r="F623" i="25"/>
  <c r="G623" i="25"/>
  <c r="F624" i="25"/>
  <c r="G624" i="25"/>
  <c r="F625" i="25"/>
  <c r="G625" i="25"/>
  <c r="F626" i="25"/>
  <c r="G626" i="25"/>
  <c r="F627" i="25"/>
  <c r="G627" i="25"/>
  <c r="F628" i="25"/>
  <c r="G628" i="25"/>
  <c r="F629" i="25"/>
  <c r="G629" i="25"/>
  <c r="F630" i="25"/>
  <c r="G630" i="25"/>
  <c r="F631" i="25"/>
  <c r="G631" i="25"/>
  <c r="F632" i="25"/>
  <c r="G632" i="25"/>
  <c r="F633" i="25"/>
  <c r="G633" i="25"/>
  <c r="F634" i="25"/>
  <c r="G634" i="25"/>
  <c r="F635" i="25"/>
  <c r="G635" i="25"/>
  <c r="F636" i="25"/>
  <c r="G636" i="25"/>
  <c r="F637" i="25"/>
  <c r="G637" i="25"/>
  <c r="F638" i="25"/>
  <c r="G638" i="25"/>
  <c r="F639" i="25"/>
  <c r="G639" i="25"/>
  <c r="F640" i="25"/>
  <c r="G640" i="25"/>
  <c r="F641" i="25"/>
  <c r="G641" i="25"/>
  <c r="F642" i="25"/>
  <c r="G642" i="25"/>
  <c r="F643" i="25"/>
  <c r="G643" i="25"/>
  <c r="F644" i="25"/>
  <c r="G644" i="25"/>
  <c r="F645" i="25"/>
  <c r="G645" i="25"/>
  <c r="F646" i="25"/>
  <c r="G646" i="25"/>
  <c r="F647" i="25"/>
  <c r="G647" i="25"/>
  <c r="F648" i="25"/>
  <c r="G648" i="25"/>
  <c r="F649" i="25"/>
  <c r="G649" i="25"/>
  <c r="F650" i="25"/>
  <c r="G650" i="25"/>
  <c r="F651" i="25"/>
  <c r="G651" i="25"/>
  <c r="F652" i="25"/>
  <c r="G652" i="25"/>
  <c r="F653" i="25"/>
  <c r="G653" i="25"/>
  <c r="F654" i="25"/>
  <c r="G654" i="25"/>
  <c r="F655" i="25"/>
  <c r="G655" i="25"/>
  <c r="F656" i="25"/>
  <c r="G656" i="25"/>
  <c r="F657" i="25"/>
  <c r="G657" i="25"/>
  <c r="F658" i="25"/>
  <c r="G658" i="25"/>
  <c r="F660" i="25"/>
  <c r="G660" i="25"/>
  <c r="F661" i="25"/>
  <c r="G661" i="25"/>
  <c r="F662" i="25"/>
  <c r="G662" i="25"/>
  <c r="F663" i="25"/>
  <c r="G663" i="25"/>
  <c r="F664" i="25"/>
  <c r="G664" i="25"/>
  <c r="F665" i="25"/>
  <c r="G665" i="25"/>
  <c r="F666" i="25"/>
  <c r="G666" i="25"/>
  <c r="F667" i="25"/>
  <c r="G667" i="25"/>
  <c r="F668" i="25"/>
  <c r="G668" i="25"/>
  <c r="F669" i="25"/>
  <c r="G669" i="25"/>
  <c r="F670" i="25"/>
  <c r="G670" i="25"/>
  <c r="F671" i="25"/>
  <c r="G671" i="25"/>
  <c r="F672" i="25"/>
  <c r="G672" i="25"/>
  <c r="F673" i="25"/>
  <c r="G673" i="25"/>
  <c r="F674" i="25"/>
  <c r="G674" i="25"/>
  <c r="F675" i="25"/>
  <c r="G675" i="25"/>
  <c r="F676" i="25"/>
  <c r="G676" i="25"/>
  <c r="F677" i="25"/>
  <c r="G677" i="25"/>
  <c r="F678" i="25"/>
  <c r="G678" i="25"/>
  <c r="F679" i="25"/>
  <c r="G679" i="25"/>
  <c r="F680" i="25"/>
  <c r="G680" i="25"/>
  <c r="F681" i="25"/>
  <c r="G681" i="25"/>
  <c r="F682" i="25"/>
  <c r="G682" i="25"/>
  <c r="F683" i="25"/>
  <c r="G683" i="25"/>
  <c r="F684" i="25"/>
  <c r="G684" i="25"/>
  <c r="F685" i="25"/>
  <c r="G685" i="25"/>
  <c r="F686" i="25"/>
  <c r="G686" i="25"/>
  <c r="F687" i="25"/>
  <c r="G687" i="25"/>
  <c r="F688" i="25"/>
  <c r="G688" i="25"/>
  <c r="F689" i="25"/>
  <c r="G689" i="25"/>
  <c r="F690" i="25"/>
  <c r="G690" i="25"/>
  <c r="F691" i="25"/>
  <c r="G691" i="25"/>
  <c r="F692" i="25"/>
  <c r="G692" i="25"/>
  <c r="F693" i="25"/>
  <c r="G693" i="25"/>
  <c r="F694" i="25"/>
  <c r="G694" i="25"/>
  <c r="F695" i="25"/>
  <c r="G695" i="25"/>
  <c r="F696" i="25"/>
  <c r="G696" i="25"/>
  <c r="F697" i="25"/>
  <c r="G697" i="25"/>
  <c r="F698" i="25"/>
  <c r="G698" i="25"/>
  <c r="F699" i="25"/>
  <c r="G699" i="25"/>
  <c r="F700" i="25"/>
  <c r="G700" i="25"/>
  <c r="F701" i="25"/>
  <c r="G701" i="25"/>
  <c r="F702" i="25"/>
  <c r="G702" i="25"/>
  <c r="F703" i="25"/>
  <c r="G703" i="25"/>
  <c r="F704" i="25"/>
  <c r="G704" i="25"/>
  <c r="F705" i="25"/>
  <c r="G705" i="25"/>
  <c r="F706" i="25"/>
  <c r="G706" i="25"/>
  <c r="F707" i="25"/>
  <c r="G707" i="25"/>
  <c r="F708" i="25"/>
  <c r="G708" i="25"/>
  <c r="F709" i="25"/>
  <c r="G709" i="25"/>
  <c r="F710" i="25"/>
  <c r="G710" i="25"/>
  <c r="F711" i="25"/>
  <c r="G711" i="25"/>
  <c r="F712" i="25"/>
  <c r="G712" i="25"/>
  <c r="F713" i="25"/>
  <c r="G713" i="25"/>
  <c r="F714" i="25"/>
  <c r="G714" i="25"/>
  <c r="F715" i="25"/>
  <c r="G715" i="25"/>
  <c r="F716" i="25"/>
  <c r="G716" i="25"/>
  <c r="F717" i="25"/>
  <c r="G717" i="25"/>
  <c r="F718" i="25"/>
  <c r="G718" i="25"/>
  <c r="F719" i="25"/>
  <c r="G719" i="25"/>
  <c r="F720" i="25"/>
  <c r="G720" i="25"/>
  <c r="F721" i="25"/>
  <c r="G721" i="25"/>
  <c r="F722" i="25"/>
  <c r="G722" i="25"/>
  <c r="F723" i="25"/>
  <c r="G723" i="25"/>
  <c r="F724" i="25"/>
  <c r="G724" i="25"/>
  <c r="F725" i="25"/>
  <c r="G725" i="25"/>
  <c r="F726" i="25"/>
  <c r="G726" i="25"/>
  <c r="F727" i="25"/>
  <c r="G727" i="25"/>
  <c r="F728" i="25"/>
  <c r="G728" i="25"/>
  <c r="F729" i="25"/>
  <c r="G729" i="25"/>
  <c r="F730" i="25"/>
  <c r="G730" i="25"/>
  <c r="F731" i="25"/>
  <c r="G731" i="25"/>
  <c r="F732" i="25"/>
  <c r="G732" i="25"/>
  <c r="F733" i="25"/>
  <c r="G733" i="25"/>
  <c r="F734" i="25"/>
  <c r="G734" i="25"/>
  <c r="F735" i="25"/>
  <c r="G735" i="25"/>
  <c r="F736" i="25"/>
  <c r="G736" i="25"/>
  <c r="F737" i="25"/>
  <c r="G737" i="25"/>
  <c r="F738" i="25"/>
  <c r="G738" i="25"/>
  <c r="F739" i="25"/>
  <c r="G739" i="25"/>
  <c r="F740" i="25"/>
  <c r="G740" i="25"/>
  <c r="F741" i="25"/>
  <c r="G741" i="25"/>
  <c r="F742" i="25"/>
  <c r="G742" i="25"/>
  <c r="F743" i="25"/>
  <c r="G743" i="25"/>
  <c r="F744" i="25"/>
  <c r="G744" i="25"/>
  <c r="F745" i="25"/>
  <c r="G745" i="25"/>
  <c r="F746" i="25"/>
  <c r="G746" i="25"/>
  <c r="F747" i="25"/>
  <c r="G747" i="25"/>
  <c r="F748" i="25"/>
  <c r="G748" i="25"/>
  <c r="F749" i="25"/>
  <c r="G749" i="25"/>
  <c r="F750" i="25"/>
  <c r="G750" i="25"/>
  <c r="F751" i="25"/>
  <c r="G751" i="25"/>
  <c r="F752" i="25"/>
  <c r="G752" i="25"/>
  <c r="F753" i="25"/>
  <c r="G753" i="25"/>
  <c r="F755" i="25"/>
  <c r="G755" i="25"/>
  <c r="F756" i="25"/>
  <c r="G756" i="25"/>
  <c r="F757" i="25"/>
  <c r="G757" i="25"/>
  <c r="F758" i="25"/>
  <c r="G758" i="25"/>
  <c r="F759" i="25"/>
  <c r="G759" i="25"/>
  <c r="F761" i="25"/>
  <c r="G761" i="25"/>
  <c r="F762" i="25"/>
  <c r="G762" i="25"/>
  <c r="F763" i="25"/>
  <c r="G763" i="25"/>
  <c r="F764" i="25"/>
  <c r="G764" i="25"/>
  <c r="F765" i="25"/>
  <c r="G765" i="25"/>
  <c r="H3" i="24" l="1"/>
  <c r="I3" i="24"/>
  <c r="H4" i="24"/>
  <c r="I4" i="24"/>
  <c r="B5" i="24"/>
  <c r="H5" i="24" s="1"/>
  <c r="C5" i="24"/>
  <c r="C9" i="24" s="1"/>
  <c r="D5" i="24"/>
  <c r="D9" i="24" s="1"/>
  <c r="E5" i="24"/>
  <c r="F5" i="24"/>
  <c r="G5" i="24"/>
  <c r="I9" i="24" s="1"/>
  <c r="B6" i="24"/>
  <c r="C6" i="24" s="1"/>
  <c r="D6" i="24" s="1"/>
  <c r="E6" i="24" s="1"/>
  <c r="F6" i="24" s="1"/>
  <c r="G6" i="24" s="1"/>
  <c r="C8" i="24"/>
  <c r="D8" i="24"/>
  <c r="E8" i="24"/>
  <c r="F8" i="24"/>
  <c r="G8" i="24"/>
  <c r="H8" i="24"/>
  <c r="I8" i="24"/>
  <c r="E9" i="24"/>
  <c r="F9" i="24"/>
  <c r="G9" i="24"/>
  <c r="C10" i="24"/>
  <c r="D10" i="24"/>
  <c r="E10" i="24"/>
  <c r="F10" i="24"/>
  <c r="G10" i="24"/>
  <c r="H10" i="24"/>
  <c r="I10" i="24"/>
  <c r="H2" i="22"/>
  <c r="I2" i="22"/>
  <c r="H3" i="22"/>
  <c r="I3"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H205" i="22"/>
  <c r="I205" i="22"/>
  <c r="H206" i="22"/>
  <c r="I206" i="22"/>
  <c r="H207" i="22"/>
  <c r="I207" i="22"/>
  <c r="H208" i="22"/>
  <c r="I208" i="22"/>
  <c r="H209" i="22"/>
  <c r="I209" i="22"/>
  <c r="H210" i="22"/>
  <c r="I210" i="22"/>
  <c r="H211" i="22"/>
  <c r="I211" i="22"/>
  <c r="H212" i="22"/>
  <c r="I212" i="22"/>
  <c r="H213" i="22"/>
  <c r="I213" i="22"/>
  <c r="H214" i="22"/>
  <c r="I214" i="22"/>
  <c r="H215" i="22"/>
  <c r="I215" i="22"/>
  <c r="H216" i="22"/>
  <c r="I216" i="22"/>
  <c r="H217" i="22"/>
  <c r="I217" i="22"/>
  <c r="H218" i="22"/>
  <c r="I218" i="22"/>
  <c r="H219" i="22"/>
  <c r="I219" i="22"/>
  <c r="H220" i="22"/>
  <c r="I220" i="22"/>
  <c r="H221" i="22"/>
  <c r="I221" i="22"/>
  <c r="H222" i="22"/>
  <c r="I222" i="22"/>
  <c r="H223" i="22"/>
  <c r="I223" i="22"/>
  <c r="H224" i="22"/>
  <c r="I224" i="22"/>
  <c r="H225" i="22"/>
  <c r="I225" i="22"/>
  <c r="H226" i="22"/>
  <c r="I226" i="22"/>
  <c r="H227" i="22"/>
  <c r="I227" i="22"/>
  <c r="H228" i="22"/>
  <c r="I228" i="22"/>
  <c r="H229" i="22"/>
  <c r="I229" i="22"/>
  <c r="H230" i="22"/>
  <c r="I230" i="22"/>
  <c r="H231" i="22"/>
  <c r="I231" i="22"/>
  <c r="H232" i="22"/>
  <c r="I232" i="22"/>
  <c r="H233" i="22"/>
  <c r="I233" i="22"/>
  <c r="H234" i="22"/>
  <c r="I234" i="22"/>
  <c r="H235" i="22"/>
  <c r="I235" i="22"/>
  <c r="H236" i="22"/>
  <c r="I236" i="22"/>
  <c r="H237" i="22"/>
  <c r="I237" i="22"/>
  <c r="H238" i="22"/>
  <c r="I238" i="22"/>
  <c r="H239" i="22"/>
  <c r="I239" i="22"/>
  <c r="H240" i="22"/>
  <c r="I240" i="22"/>
  <c r="H241" i="22"/>
  <c r="I241" i="22"/>
  <c r="H242" i="22"/>
  <c r="I242" i="22"/>
  <c r="H243" i="22"/>
  <c r="I243" i="22"/>
  <c r="H244" i="22"/>
  <c r="I244" i="22"/>
  <c r="H245" i="22"/>
  <c r="I245" i="22"/>
  <c r="H246" i="22"/>
  <c r="I246" i="22"/>
  <c r="H247" i="22"/>
  <c r="I247" i="22"/>
  <c r="H248" i="22"/>
  <c r="I248" i="22"/>
  <c r="H249" i="22"/>
  <c r="I249" i="22"/>
  <c r="H250" i="22"/>
  <c r="I250" i="22"/>
  <c r="H251" i="22"/>
  <c r="I251" i="22"/>
  <c r="H252" i="22"/>
  <c r="I252" i="22"/>
  <c r="H253" i="22"/>
  <c r="I253" i="22"/>
  <c r="H254" i="22"/>
  <c r="I254" i="22"/>
  <c r="H255" i="22"/>
  <c r="I255" i="22"/>
  <c r="H256" i="22"/>
  <c r="I256" i="22"/>
  <c r="H257" i="22"/>
  <c r="I257" i="22"/>
  <c r="H258" i="22"/>
  <c r="I258" i="22"/>
  <c r="H259" i="22"/>
  <c r="I259" i="22"/>
  <c r="H260" i="22"/>
  <c r="I260" i="22"/>
  <c r="H261" i="22"/>
  <c r="I261" i="22"/>
  <c r="H262" i="22"/>
  <c r="I262" i="22"/>
  <c r="H263" i="22"/>
  <c r="I263" i="22"/>
  <c r="H264" i="22"/>
  <c r="I264" i="22"/>
  <c r="H265" i="22"/>
  <c r="I265" i="22"/>
  <c r="H266" i="22"/>
  <c r="I266" i="22"/>
  <c r="H267" i="22"/>
  <c r="I267" i="22"/>
  <c r="H268" i="22"/>
  <c r="I268" i="22"/>
  <c r="H269" i="22"/>
  <c r="I269" i="22"/>
  <c r="H270" i="22"/>
  <c r="I270" i="22"/>
  <c r="H271" i="22"/>
  <c r="I271" i="22"/>
  <c r="H272" i="22"/>
  <c r="I272" i="22"/>
  <c r="H273" i="22"/>
  <c r="I273" i="22"/>
  <c r="H274" i="22"/>
  <c r="I274" i="22"/>
  <c r="H275" i="22"/>
  <c r="I275" i="22"/>
  <c r="H276" i="22"/>
  <c r="I276" i="22"/>
  <c r="H277" i="22"/>
  <c r="I277" i="22"/>
  <c r="H278" i="22"/>
  <c r="I278" i="22"/>
  <c r="H279" i="22"/>
  <c r="I279" i="22"/>
  <c r="H280" i="22"/>
  <c r="I280" i="22"/>
  <c r="H281" i="22"/>
  <c r="I281" i="22"/>
  <c r="H282" i="22"/>
  <c r="I282" i="22"/>
  <c r="H283" i="22"/>
  <c r="I283" i="22"/>
  <c r="H284" i="22"/>
  <c r="I284" i="22"/>
  <c r="H285" i="22"/>
  <c r="I285" i="22"/>
  <c r="H286" i="22"/>
  <c r="I286" i="22"/>
  <c r="H287" i="22"/>
  <c r="I287" i="22"/>
  <c r="H288" i="22"/>
  <c r="I288" i="22"/>
  <c r="H289" i="22"/>
  <c r="I289" i="22"/>
  <c r="H290" i="22"/>
  <c r="I290" i="22"/>
  <c r="H291" i="22"/>
  <c r="I291" i="22"/>
  <c r="H292" i="22"/>
  <c r="I292" i="22"/>
  <c r="H293" i="22"/>
  <c r="I293" i="22"/>
  <c r="H294" i="22"/>
  <c r="I294" i="22"/>
  <c r="H295" i="22"/>
  <c r="I295" i="22"/>
  <c r="H296" i="22"/>
  <c r="I296" i="22"/>
  <c r="H297" i="22"/>
  <c r="I297" i="22"/>
  <c r="H298" i="22"/>
  <c r="I298" i="22"/>
  <c r="H299" i="22"/>
  <c r="I299" i="22"/>
  <c r="H300" i="22"/>
  <c r="I300" i="22"/>
  <c r="H301" i="22"/>
  <c r="I301" i="22"/>
  <c r="H302" i="22"/>
  <c r="I302" i="22"/>
  <c r="H303" i="22"/>
  <c r="I303" i="22"/>
  <c r="H304" i="22"/>
  <c r="I304" i="22"/>
  <c r="H305" i="22"/>
  <c r="I305" i="22"/>
  <c r="H306" i="22"/>
  <c r="I306" i="22"/>
  <c r="H307" i="22"/>
  <c r="I307" i="22"/>
  <c r="H308" i="22"/>
  <c r="I308" i="22"/>
  <c r="H309" i="22"/>
  <c r="I309" i="22"/>
  <c r="H310" i="22"/>
  <c r="I310" i="22"/>
  <c r="H311" i="22"/>
  <c r="I311" i="22"/>
  <c r="H312" i="22"/>
  <c r="I312" i="22"/>
  <c r="H313" i="22"/>
  <c r="I313" i="22"/>
  <c r="H314" i="22"/>
  <c r="I314" i="22"/>
  <c r="H315" i="22"/>
  <c r="I315" i="22"/>
  <c r="H316" i="22"/>
  <c r="I316" i="22"/>
  <c r="H317" i="22"/>
  <c r="I317" i="22"/>
  <c r="H318" i="22"/>
  <c r="I318" i="22"/>
  <c r="H319" i="22"/>
  <c r="I319" i="22"/>
  <c r="H320" i="22"/>
  <c r="I320" i="22"/>
  <c r="H321" i="22"/>
  <c r="I321" i="22"/>
  <c r="H322" i="22"/>
  <c r="I322" i="22"/>
  <c r="H323" i="22"/>
  <c r="I323" i="22"/>
  <c r="H324" i="22"/>
  <c r="I324" i="22"/>
  <c r="H325" i="22"/>
  <c r="I325" i="22"/>
  <c r="H326" i="22"/>
  <c r="I326" i="22"/>
  <c r="H327" i="22"/>
  <c r="I327" i="22"/>
  <c r="H328" i="22"/>
  <c r="I328" i="22"/>
  <c r="H329" i="22"/>
  <c r="I329" i="22"/>
  <c r="H330" i="22"/>
  <c r="I330" i="22"/>
  <c r="H331" i="22"/>
  <c r="I331" i="22"/>
  <c r="H332" i="22"/>
  <c r="I332" i="22"/>
  <c r="H333" i="22"/>
  <c r="I333" i="22"/>
  <c r="H334" i="22"/>
  <c r="I334" i="22"/>
  <c r="H335" i="22"/>
  <c r="I335" i="22"/>
  <c r="H336" i="22"/>
  <c r="I336" i="22"/>
  <c r="H337" i="22"/>
  <c r="I337" i="22"/>
  <c r="H338" i="22"/>
  <c r="I338" i="22"/>
  <c r="H339" i="22"/>
  <c r="I339" i="22"/>
  <c r="H340" i="22"/>
  <c r="I340" i="22"/>
  <c r="H341" i="22"/>
  <c r="I341" i="22"/>
  <c r="H342" i="22"/>
  <c r="I342" i="22"/>
  <c r="H343" i="22"/>
  <c r="I343" i="22"/>
  <c r="H344" i="22"/>
  <c r="I344" i="22"/>
  <c r="H345" i="22"/>
  <c r="I345" i="22"/>
  <c r="H346" i="22"/>
  <c r="I346" i="22"/>
  <c r="H347" i="22"/>
  <c r="I347" i="22"/>
  <c r="H348" i="22"/>
  <c r="I348" i="22"/>
  <c r="H349" i="22"/>
  <c r="I349" i="22"/>
  <c r="H350" i="22"/>
  <c r="I350" i="22"/>
  <c r="H351" i="22"/>
  <c r="I351" i="22"/>
  <c r="H352" i="22"/>
  <c r="I352" i="22"/>
  <c r="H353" i="22"/>
  <c r="I353" i="22"/>
  <c r="H354" i="22"/>
  <c r="I354" i="22"/>
  <c r="H355" i="22"/>
  <c r="I355" i="22"/>
  <c r="H356" i="22"/>
  <c r="I356" i="22"/>
  <c r="H357" i="22"/>
  <c r="I357" i="22"/>
  <c r="H358" i="22"/>
  <c r="I358" i="22"/>
  <c r="H359" i="22"/>
  <c r="I359" i="22"/>
  <c r="H360" i="22"/>
  <c r="I360" i="22"/>
  <c r="H361" i="22"/>
  <c r="I361" i="22"/>
  <c r="H362" i="22"/>
  <c r="I362" i="22"/>
  <c r="H363" i="22"/>
  <c r="I363" i="22"/>
  <c r="H364" i="22"/>
  <c r="I364" i="22"/>
  <c r="H365" i="22"/>
  <c r="I365" i="22"/>
  <c r="H366" i="22"/>
  <c r="I366" i="22"/>
  <c r="H367" i="22"/>
  <c r="I367" i="22"/>
  <c r="H368" i="22"/>
  <c r="I368" i="22"/>
  <c r="H369" i="22"/>
  <c r="I369" i="22"/>
  <c r="H370" i="22"/>
  <c r="I370" i="22"/>
  <c r="H371" i="22"/>
  <c r="I371" i="22"/>
  <c r="H372" i="22"/>
  <c r="I372" i="22"/>
  <c r="H373" i="22"/>
  <c r="I373" i="22"/>
  <c r="H374" i="22"/>
  <c r="I374" i="22"/>
  <c r="H375" i="22"/>
  <c r="I375" i="22"/>
  <c r="H376" i="22"/>
  <c r="I376" i="22"/>
  <c r="H377" i="22"/>
  <c r="I377" i="22"/>
  <c r="H378" i="22"/>
  <c r="I378" i="22"/>
  <c r="H379" i="22"/>
  <c r="I379" i="22"/>
  <c r="H380" i="22"/>
  <c r="I380" i="22"/>
  <c r="H381" i="22"/>
  <c r="I381" i="22"/>
  <c r="H382" i="22"/>
  <c r="I382" i="22"/>
  <c r="H383" i="22"/>
  <c r="I383" i="22"/>
  <c r="H384" i="22"/>
  <c r="I384" i="22"/>
  <c r="H385" i="22"/>
  <c r="I385" i="22"/>
  <c r="H386" i="22"/>
  <c r="I386" i="22"/>
  <c r="H387" i="22"/>
  <c r="I387" i="22"/>
  <c r="H388" i="22"/>
  <c r="I388" i="22"/>
  <c r="H389" i="22"/>
  <c r="I389" i="22"/>
  <c r="H390" i="22"/>
  <c r="I390" i="22"/>
  <c r="H391" i="22"/>
  <c r="I391" i="22"/>
  <c r="H392" i="22"/>
  <c r="I392" i="22"/>
  <c r="H393" i="22"/>
  <c r="I393" i="22"/>
  <c r="H394" i="22"/>
  <c r="I394" i="22"/>
  <c r="H395" i="22"/>
  <c r="I395" i="22"/>
  <c r="H396" i="22"/>
  <c r="I396" i="22"/>
  <c r="H397" i="22"/>
  <c r="I397" i="22"/>
  <c r="H398" i="22"/>
  <c r="I398" i="22"/>
  <c r="H399" i="22"/>
  <c r="I399" i="22"/>
  <c r="H400" i="22"/>
  <c r="I400" i="22"/>
  <c r="H401" i="22"/>
  <c r="I401" i="22"/>
  <c r="H402" i="22"/>
  <c r="I402" i="22"/>
  <c r="H403" i="22"/>
  <c r="I403" i="22"/>
  <c r="H404" i="22"/>
  <c r="I404" i="22"/>
  <c r="H405" i="22"/>
  <c r="I405" i="22"/>
  <c r="H406" i="22"/>
  <c r="I406" i="22"/>
  <c r="H407" i="22"/>
  <c r="I407" i="22"/>
  <c r="H408" i="22"/>
  <c r="I408" i="22"/>
  <c r="H409" i="22"/>
  <c r="I409" i="22"/>
  <c r="H410" i="22"/>
  <c r="I410" i="22"/>
  <c r="H411" i="22"/>
  <c r="I411" i="22"/>
  <c r="H412" i="22"/>
  <c r="I412" i="22"/>
  <c r="H413" i="22"/>
  <c r="I413" i="22"/>
  <c r="H414" i="22"/>
  <c r="I414" i="22"/>
  <c r="H415" i="22"/>
  <c r="I415" i="22"/>
  <c r="H416" i="22"/>
  <c r="I416" i="22"/>
  <c r="H417" i="22"/>
  <c r="I417" i="22"/>
  <c r="H418" i="22"/>
  <c r="I418" i="22"/>
  <c r="H419" i="22"/>
  <c r="I419" i="22"/>
  <c r="H420" i="22"/>
  <c r="I420" i="22"/>
  <c r="H421" i="22"/>
  <c r="I421" i="22"/>
  <c r="H422" i="22"/>
  <c r="I422" i="22"/>
  <c r="H423" i="22"/>
  <c r="I423" i="22"/>
  <c r="H424" i="22"/>
  <c r="I424" i="22"/>
  <c r="H425" i="22"/>
  <c r="I425" i="22"/>
  <c r="H426" i="22"/>
  <c r="I426" i="22"/>
  <c r="H427" i="22"/>
  <c r="I427" i="22"/>
  <c r="H428" i="22"/>
  <c r="I428" i="22"/>
  <c r="H429" i="22"/>
  <c r="I429" i="22"/>
  <c r="H430" i="22"/>
  <c r="I430" i="22"/>
  <c r="H431" i="22"/>
  <c r="I431" i="22"/>
  <c r="H432" i="22"/>
  <c r="I432" i="22"/>
  <c r="H433" i="22"/>
  <c r="I433" i="22"/>
  <c r="H434" i="22"/>
  <c r="I434" i="22"/>
  <c r="H435" i="22"/>
  <c r="I435" i="22"/>
  <c r="H436" i="22"/>
  <c r="I436" i="22"/>
  <c r="H437" i="22"/>
  <c r="I437" i="22"/>
  <c r="H438" i="22"/>
  <c r="I438" i="22"/>
  <c r="H439" i="22"/>
  <c r="I439" i="22"/>
  <c r="H440" i="22"/>
  <c r="I440" i="22"/>
  <c r="H441" i="22"/>
  <c r="I441" i="22"/>
  <c r="H442" i="22"/>
  <c r="I442" i="22"/>
  <c r="H443" i="22"/>
  <c r="I443" i="22"/>
  <c r="H444" i="22"/>
  <c r="I444" i="22"/>
  <c r="H445" i="22"/>
  <c r="I445" i="22"/>
  <c r="H446" i="22"/>
  <c r="I446" i="22"/>
  <c r="H447" i="22"/>
  <c r="I447" i="22"/>
  <c r="H448" i="22"/>
  <c r="I448" i="22"/>
  <c r="H449" i="22"/>
  <c r="I449" i="22"/>
  <c r="H450" i="22"/>
  <c r="I450" i="22"/>
  <c r="H451" i="22"/>
  <c r="I451" i="22"/>
  <c r="H452" i="22"/>
  <c r="I452" i="22"/>
  <c r="H453" i="22"/>
  <c r="I453" i="22"/>
  <c r="H454" i="22"/>
  <c r="I454" i="22"/>
  <c r="H455" i="22"/>
  <c r="I455" i="22"/>
  <c r="H456" i="22"/>
  <c r="I456" i="22"/>
  <c r="H457" i="22"/>
  <c r="I457" i="22"/>
  <c r="H458" i="22"/>
  <c r="I458" i="22"/>
  <c r="H459" i="22"/>
  <c r="I459" i="22"/>
  <c r="H460" i="22"/>
  <c r="I460" i="22"/>
  <c r="H461" i="22"/>
  <c r="I461" i="22"/>
  <c r="H462" i="22"/>
  <c r="I462" i="22"/>
  <c r="H463" i="22"/>
  <c r="I463" i="22"/>
  <c r="H464" i="22"/>
  <c r="I464" i="22"/>
  <c r="H465" i="22"/>
  <c r="I465" i="22"/>
  <c r="H466" i="22"/>
  <c r="I466" i="22"/>
  <c r="H467" i="22"/>
  <c r="I467" i="22"/>
  <c r="H468" i="22"/>
  <c r="I468" i="22"/>
  <c r="H469" i="22"/>
  <c r="I469" i="22"/>
  <c r="H470" i="22"/>
  <c r="I470" i="22"/>
  <c r="H471" i="22"/>
  <c r="I471" i="22"/>
  <c r="H472" i="22"/>
  <c r="I472" i="22"/>
  <c r="H473" i="22"/>
  <c r="I473" i="22"/>
  <c r="H474" i="22"/>
  <c r="I474" i="22"/>
  <c r="H475" i="22"/>
  <c r="I475" i="22"/>
  <c r="H476" i="22"/>
  <c r="I476" i="22"/>
  <c r="H477" i="22"/>
  <c r="I477" i="22"/>
  <c r="H478" i="22"/>
  <c r="I478" i="22"/>
  <c r="H479" i="22"/>
  <c r="I479" i="22"/>
  <c r="H480" i="22"/>
  <c r="I480" i="22"/>
  <c r="H481" i="22"/>
  <c r="I481" i="22"/>
  <c r="H482" i="22"/>
  <c r="I482" i="22"/>
  <c r="H483" i="22"/>
  <c r="I483" i="22"/>
  <c r="H484" i="22"/>
  <c r="I484" i="22"/>
  <c r="H485" i="22"/>
  <c r="I485" i="22"/>
  <c r="H486" i="22"/>
  <c r="I486" i="22"/>
  <c r="H487" i="22"/>
  <c r="I487" i="22"/>
  <c r="H488" i="22"/>
  <c r="I488" i="22"/>
  <c r="H489" i="22"/>
  <c r="I489" i="22"/>
  <c r="H490" i="22"/>
  <c r="I490" i="22"/>
  <c r="H491" i="22"/>
  <c r="I491" i="22"/>
  <c r="H492" i="22"/>
  <c r="I492" i="22"/>
  <c r="H493" i="22"/>
  <c r="I493" i="22"/>
  <c r="H494" i="22"/>
  <c r="I494" i="22"/>
  <c r="H495" i="22"/>
  <c r="I495" i="22"/>
  <c r="H496" i="22"/>
  <c r="I496" i="22"/>
  <c r="H497" i="22"/>
  <c r="I497" i="22"/>
  <c r="H498" i="22"/>
  <c r="I498" i="22"/>
  <c r="H499" i="22"/>
  <c r="I499" i="22"/>
  <c r="H500" i="22"/>
  <c r="I500" i="22"/>
  <c r="H501" i="22"/>
  <c r="I501" i="22"/>
  <c r="H502" i="22"/>
  <c r="I502" i="22"/>
  <c r="H503" i="22"/>
  <c r="I503" i="22"/>
  <c r="H504" i="22"/>
  <c r="I504" i="22"/>
  <c r="H505" i="22"/>
  <c r="I505" i="22"/>
  <c r="H506" i="22"/>
  <c r="I506" i="22"/>
  <c r="H507" i="22"/>
  <c r="I507" i="22"/>
  <c r="H508" i="22"/>
  <c r="I508" i="22"/>
  <c r="H509" i="22"/>
  <c r="I509" i="22"/>
  <c r="H510" i="22"/>
  <c r="I510" i="22"/>
  <c r="H511" i="22"/>
  <c r="I511" i="22"/>
  <c r="H512" i="22"/>
  <c r="I512" i="22"/>
  <c r="H513" i="22"/>
  <c r="I513" i="22"/>
  <c r="H514" i="22"/>
  <c r="I514" i="22"/>
  <c r="H515" i="22"/>
  <c r="I515" i="22"/>
  <c r="H516" i="22"/>
  <c r="I516" i="22"/>
  <c r="H517" i="22"/>
  <c r="I517" i="22"/>
  <c r="H518" i="22"/>
  <c r="I518" i="22"/>
  <c r="H519" i="22"/>
  <c r="I519" i="22"/>
  <c r="H520" i="22"/>
  <c r="I520" i="22"/>
  <c r="H521" i="22"/>
  <c r="I521" i="22"/>
  <c r="H522" i="22"/>
  <c r="I522" i="22"/>
  <c r="H523" i="22"/>
  <c r="I523" i="22"/>
  <c r="H524" i="22"/>
  <c r="I524" i="22"/>
  <c r="H525" i="22"/>
  <c r="I525" i="22"/>
  <c r="H526" i="22"/>
  <c r="I526" i="22"/>
  <c r="H527" i="22"/>
  <c r="I527" i="22"/>
  <c r="H528" i="22"/>
  <c r="I528" i="22"/>
  <c r="H529" i="22"/>
  <c r="I529" i="22"/>
  <c r="H530" i="22"/>
  <c r="I530" i="22"/>
  <c r="H531" i="22"/>
  <c r="I531" i="22"/>
  <c r="H532" i="22"/>
  <c r="I532" i="22"/>
  <c r="H533" i="22"/>
  <c r="I533" i="22"/>
  <c r="H534" i="22"/>
  <c r="I534" i="22"/>
  <c r="H535" i="22"/>
  <c r="I535" i="22"/>
  <c r="H536" i="22"/>
  <c r="I536" i="22"/>
  <c r="H537" i="22"/>
  <c r="I537" i="22"/>
  <c r="H538" i="22"/>
  <c r="I538" i="22"/>
  <c r="H539" i="22"/>
  <c r="I539" i="22"/>
  <c r="H540" i="22"/>
  <c r="I540" i="22"/>
  <c r="H541" i="22"/>
  <c r="I541" i="22"/>
  <c r="H542" i="22"/>
  <c r="I542" i="22"/>
  <c r="H543" i="22"/>
  <c r="I543" i="22"/>
  <c r="H544" i="22"/>
  <c r="I544" i="22"/>
  <c r="H545" i="22"/>
  <c r="I545" i="22"/>
  <c r="H546" i="22"/>
  <c r="I546" i="22"/>
  <c r="H547" i="22"/>
  <c r="I547" i="22"/>
  <c r="H548" i="22"/>
  <c r="I548" i="22"/>
  <c r="H549" i="22"/>
  <c r="I549" i="22"/>
  <c r="H550" i="22"/>
  <c r="I550" i="22"/>
  <c r="H551" i="22"/>
  <c r="I551" i="22"/>
  <c r="H552" i="22"/>
  <c r="I552" i="22"/>
  <c r="H553" i="22"/>
  <c r="I553" i="22"/>
  <c r="H554" i="22"/>
  <c r="I554" i="22"/>
  <c r="H555" i="22"/>
  <c r="I555" i="22"/>
  <c r="H556" i="22"/>
  <c r="I556" i="22"/>
  <c r="H557" i="22"/>
  <c r="I557" i="22"/>
  <c r="H558" i="22"/>
  <c r="I558" i="22"/>
  <c r="H559" i="22"/>
  <c r="I559" i="22"/>
  <c r="H560" i="22"/>
  <c r="I560" i="22"/>
  <c r="H561" i="22"/>
  <c r="I561" i="22"/>
  <c r="H562" i="22"/>
  <c r="I562" i="22"/>
  <c r="H563" i="22"/>
  <c r="I563" i="22"/>
  <c r="H564" i="22"/>
  <c r="I564" i="22"/>
  <c r="H565" i="22"/>
  <c r="I565" i="22"/>
  <c r="H566" i="22"/>
  <c r="I566" i="22"/>
  <c r="H567" i="22"/>
  <c r="I567" i="22"/>
  <c r="H568" i="22"/>
  <c r="I568" i="22"/>
  <c r="H569" i="22"/>
  <c r="I569" i="22"/>
  <c r="H570" i="22"/>
  <c r="I570" i="22"/>
  <c r="H571" i="22"/>
  <c r="I571" i="22"/>
  <c r="H572" i="22"/>
  <c r="I572" i="22"/>
  <c r="H573" i="22"/>
  <c r="I573" i="22"/>
  <c r="H574" i="22"/>
  <c r="I574" i="22"/>
  <c r="H575" i="22"/>
  <c r="I575" i="22"/>
  <c r="H576" i="22"/>
  <c r="I576" i="22"/>
  <c r="H577" i="22"/>
  <c r="I577" i="22"/>
  <c r="H578" i="22"/>
  <c r="I578" i="22"/>
  <c r="H579" i="22"/>
  <c r="I579" i="22"/>
  <c r="H580" i="22"/>
  <c r="I580" i="22"/>
  <c r="H581" i="22"/>
  <c r="I581" i="22"/>
  <c r="H582" i="22"/>
  <c r="I582" i="22"/>
  <c r="H583" i="22"/>
  <c r="I583" i="22"/>
  <c r="H584" i="22"/>
  <c r="I584" i="22"/>
  <c r="H585" i="22"/>
  <c r="I585" i="22"/>
  <c r="H586" i="22"/>
  <c r="I586" i="22"/>
  <c r="H587" i="22"/>
  <c r="I587" i="22"/>
  <c r="H588" i="22"/>
  <c r="I588" i="22"/>
  <c r="H589" i="22"/>
  <c r="I589" i="22"/>
  <c r="H590" i="22"/>
  <c r="I590" i="22"/>
  <c r="H591" i="22"/>
  <c r="I591" i="22"/>
  <c r="H592" i="22"/>
  <c r="I592" i="22"/>
  <c r="H593" i="22"/>
  <c r="I593" i="22"/>
  <c r="H594" i="22"/>
  <c r="I594" i="22"/>
  <c r="H595" i="22"/>
  <c r="I595" i="22"/>
  <c r="H596" i="22"/>
  <c r="I596" i="22"/>
  <c r="H597" i="22"/>
  <c r="I597" i="22"/>
  <c r="H598" i="22"/>
  <c r="I598" i="22"/>
  <c r="H599" i="22"/>
  <c r="I599" i="22"/>
  <c r="H600" i="22"/>
  <c r="I600" i="22"/>
  <c r="H601" i="22"/>
  <c r="I601" i="22"/>
  <c r="H602" i="22"/>
  <c r="I602" i="22"/>
  <c r="H603" i="22"/>
  <c r="I603" i="22"/>
  <c r="H604" i="22"/>
  <c r="I604" i="22"/>
  <c r="H605" i="22"/>
  <c r="I605" i="22"/>
  <c r="H606" i="22"/>
  <c r="I606" i="22"/>
  <c r="H607" i="22"/>
  <c r="I607" i="22"/>
  <c r="H608" i="22"/>
  <c r="I608" i="22"/>
  <c r="H609" i="22"/>
  <c r="I609" i="22"/>
  <c r="H610" i="22"/>
  <c r="I610" i="22"/>
  <c r="H611" i="22"/>
  <c r="I611" i="22"/>
  <c r="H612" i="22"/>
  <c r="I612" i="22"/>
  <c r="H613" i="22"/>
  <c r="I613" i="22"/>
  <c r="H614" i="22"/>
  <c r="I614" i="22"/>
  <c r="H615" i="22"/>
  <c r="I615" i="22"/>
  <c r="H616" i="22"/>
  <c r="I616" i="22"/>
  <c r="H617" i="22"/>
  <c r="I617" i="22"/>
  <c r="H618" i="22"/>
  <c r="I618" i="22"/>
  <c r="H619" i="22"/>
  <c r="I619" i="22"/>
  <c r="H620" i="22"/>
  <c r="I620" i="22"/>
  <c r="H621" i="22"/>
  <c r="I621" i="22"/>
  <c r="H622" i="22"/>
  <c r="I622" i="22"/>
  <c r="H623" i="22"/>
  <c r="I623" i="22"/>
  <c r="H624" i="22"/>
  <c r="I624" i="22"/>
  <c r="H625" i="22"/>
  <c r="I625" i="22"/>
  <c r="H626" i="22"/>
  <c r="I626" i="22"/>
  <c r="H627" i="22"/>
  <c r="I627" i="22"/>
  <c r="H628" i="22"/>
  <c r="I628" i="22"/>
  <c r="H629" i="22"/>
  <c r="I629" i="22"/>
  <c r="H630" i="22"/>
  <c r="I630" i="22"/>
  <c r="H631" i="22"/>
  <c r="I631" i="22"/>
  <c r="H632" i="22"/>
  <c r="I632" i="22"/>
  <c r="H633" i="22"/>
  <c r="I633" i="22"/>
  <c r="H634" i="22"/>
  <c r="I634" i="22"/>
  <c r="H635" i="22"/>
  <c r="I635" i="22"/>
  <c r="H636" i="22"/>
  <c r="I636" i="22"/>
  <c r="H637" i="22"/>
  <c r="I637" i="22"/>
  <c r="H638" i="22"/>
  <c r="I638" i="22"/>
  <c r="H639" i="22"/>
  <c r="I639" i="22"/>
  <c r="H640" i="22"/>
  <c r="I640" i="22"/>
  <c r="H641" i="22"/>
  <c r="I641" i="22"/>
  <c r="H642" i="22"/>
  <c r="I642" i="22"/>
  <c r="H643" i="22"/>
  <c r="I643" i="22"/>
  <c r="H644" i="22"/>
  <c r="I644" i="22"/>
  <c r="H645" i="22"/>
  <c r="I645" i="22"/>
  <c r="H646" i="22"/>
  <c r="I646" i="22"/>
  <c r="H647" i="22"/>
  <c r="I647" i="22"/>
  <c r="H648" i="22"/>
  <c r="I648" i="22"/>
  <c r="H649" i="22"/>
  <c r="I649" i="22"/>
  <c r="H650" i="22"/>
  <c r="I650" i="22"/>
  <c r="H651" i="22"/>
  <c r="I651" i="22"/>
  <c r="H652" i="22"/>
  <c r="I652" i="22"/>
  <c r="H653" i="22"/>
  <c r="I653" i="22"/>
  <c r="H654" i="22"/>
  <c r="I654" i="22"/>
  <c r="H655" i="22"/>
  <c r="I655" i="22"/>
  <c r="H656" i="22"/>
  <c r="I656" i="22"/>
  <c r="H657" i="22"/>
  <c r="I657" i="22"/>
  <c r="H658" i="22"/>
  <c r="I658" i="22"/>
  <c r="H659" i="22"/>
  <c r="I659" i="22"/>
  <c r="H660" i="22"/>
  <c r="I660" i="22"/>
  <c r="H661" i="22"/>
  <c r="I661" i="22"/>
  <c r="H662" i="22"/>
  <c r="I662" i="22"/>
  <c r="H663" i="22"/>
  <c r="I663" i="22"/>
  <c r="H664" i="22"/>
  <c r="I664" i="22"/>
  <c r="H665" i="22"/>
  <c r="I665" i="22"/>
  <c r="H666" i="22"/>
  <c r="I666" i="22"/>
  <c r="H667" i="22"/>
  <c r="I667" i="22"/>
  <c r="H668" i="22"/>
  <c r="I668" i="22"/>
  <c r="H669" i="22"/>
  <c r="I669" i="22"/>
  <c r="H670" i="22"/>
  <c r="I670" i="22"/>
  <c r="H671" i="22"/>
  <c r="I671" i="22"/>
  <c r="H672" i="22"/>
  <c r="I672" i="22"/>
  <c r="H673" i="22"/>
  <c r="I673" i="22"/>
  <c r="H674" i="22"/>
  <c r="I674" i="22"/>
  <c r="H675" i="22"/>
  <c r="I675" i="22"/>
  <c r="H676" i="22"/>
  <c r="I676" i="22"/>
  <c r="H677" i="22"/>
  <c r="I677" i="22"/>
  <c r="H678" i="22"/>
  <c r="I678" i="22"/>
  <c r="H679" i="22"/>
  <c r="I679" i="22"/>
  <c r="H680" i="22"/>
  <c r="I680" i="22"/>
  <c r="H681" i="22"/>
  <c r="I681" i="22"/>
  <c r="H682" i="22"/>
  <c r="I682" i="22"/>
  <c r="H683" i="22"/>
  <c r="I683" i="22"/>
  <c r="H684" i="22"/>
  <c r="I684" i="22"/>
  <c r="H685" i="22"/>
  <c r="I685" i="22"/>
  <c r="H686" i="22"/>
  <c r="I686" i="22"/>
  <c r="H687" i="22"/>
  <c r="I687" i="22"/>
  <c r="H688" i="22"/>
  <c r="I688" i="22"/>
  <c r="H689" i="22"/>
  <c r="I689" i="22"/>
  <c r="H690" i="22"/>
  <c r="I690" i="22"/>
  <c r="H691" i="22"/>
  <c r="I691" i="22"/>
  <c r="H692" i="22"/>
  <c r="I692" i="22"/>
  <c r="H693" i="22"/>
  <c r="I693" i="22"/>
  <c r="H694" i="22"/>
  <c r="I694" i="22"/>
  <c r="H695" i="22"/>
  <c r="I695" i="22"/>
  <c r="H696" i="22"/>
  <c r="I696" i="22"/>
  <c r="H697" i="22"/>
  <c r="I697" i="22"/>
  <c r="H698" i="22"/>
  <c r="I698" i="22"/>
  <c r="H699" i="22"/>
  <c r="I699" i="22"/>
  <c r="H700" i="22"/>
  <c r="I700" i="22"/>
  <c r="H701" i="22"/>
  <c r="I701" i="22"/>
  <c r="H702" i="22"/>
  <c r="I702" i="22"/>
  <c r="H703" i="22"/>
  <c r="I703" i="22"/>
  <c r="H704" i="22"/>
  <c r="I704" i="22"/>
  <c r="H705" i="22"/>
  <c r="I705" i="22"/>
  <c r="H706" i="22"/>
  <c r="I706" i="22"/>
  <c r="H707" i="22"/>
  <c r="I707" i="22"/>
  <c r="H708" i="22"/>
  <c r="I708" i="22"/>
  <c r="H709" i="22"/>
  <c r="I709" i="22"/>
  <c r="H710" i="22"/>
  <c r="I710" i="22"/>
  <c r="H711" i="22"/>
  <c r="I711" i="22"/>
  <c r="H712" i="22"/>
  <c r="I712" i="22"/>
  <c r="H713" i="22"/>
  <c r="I713" i="22"/>
  <c r="H714" i="22"/>
  <c r="I714" i="22"/>
  <c r="H715" i="22"/>
  <c r="I715" i="22"/>
  <c r="H716" i="22"/>
  <c r="I716" i="22"/>
  <c r="H717" i="22"/>
  <c r="I717" i="22"/>
  <c r="H718" i="22"/>
  <c r="I718" i="22"/>
  <c r="H719" i="22"/>
  <c r="I719" i="22"/>
  <c r="H720" i="22"/>
  <c r="I720" i="22"/>
  <c r="H721" i="22"/>
  <c r="I721" i="22"/>
  <c r="H722" i="22"/>
  <c r="I722" i="22"/>
  <c r="H723" i="22"/>
  <c r="I723" i="22"/>
  <c r="H724" i="22"/>
  <c r="I724" i="22"/>
  <c r="H725" i="22"/>
  <c r="I725" i="22"/>
  <c r="H726" i="22"/>
  <c r="I726" i="22"/>
  <c r="H727" i="22"/>
  <c r="I727" i="22"/>
  <c r="H728" i="22"/>
  <c r="I728" i="22"/>
  <c r="H729" i="22"/>
  <c r="I729" i="22"/>
  <c r="H730" i="22"/>
  <c r="I730" i="22"/>
  <c r="H731" i="22"/>
  <c r="I731" i="22"/>
  <c r="H732" i="22"/>
  <c r="I732" i="22"/>
  <c r="H733" i="22"/>
  <c r="I733" i="22"/>
  <c r="H734" i="22"/>
  <c r="I734" i="22"/>
  <c r="H735" i="22"/>
  <c r="I735" i="22"/>
  <c r="H736" i="22"/>
  <c r="I736" i="22"/>
  <c r="H737" i="22"/>
  <c r="I737" i="22"/>
  <c r="H738" i="22"/>
  <c r="I738" i="22"/>
  <c r="H739" i="22"/>
  <c r="I739" i="22"/>
  <c r="H740" i="22"/>
  <c r="I740" i="22"/>
  <c r="H741" i="22"/>
  <c r="I741" i="22"/>
  <c r="H742" i="22"/>
  <c r="I742" i="22"/>
  <c r="H9" i="24" l="1"/>
  <c r="I5" i="24"/>
  <c r="G2" i="15" l="1"/>
  <c r="H2" i="15"/>
  <c r="G3" i="15"/>
  <c r="H3" i="15"/>
  <c r="G4" i="15"/>
  <c r="H4" i="15"/>
  <c r="G5" i="15"/>
  <c r="H5" i="15"/>
  <c r="G6" i="15"/>
  <c r="H6" i="15"/>
  <c r="G7" i="15"/>
  <c r="H7" i="15"/>
  <c r="G8" i="15"/>
  <c r="H8" i="15"/>
  <c r="G9" i="15"/>
  <c r="H9" i="15"/>
  <c r="G10" i="15"/>
  <c r="H10" i="15"/>
  <c r="G11" i="15"/>
  <c r="H11" i="15"/>
  <c r="G12" i="15"/>
  <c r="H12" i="15"/>
  <c r="G13" i="15"/>
  <c r="H13" i="15"/>
  <c r="G14" i="15"/>
  <c r="H14" i="15"/>
  <c r="G15" i="15"/>
  <c r="H15" i="15"/>
  <c r="G16" i="15"/>
  <c r="H16" i="15"/>
  <c r="G17" i="15"/>
  <c r="H17" i="15"/>
  <c r="G18" i="15"/>
  <c r="H18" i="15"/>
  <c r="G19" i="15"/>
  <c r="H19" i="15"/>
  <c r="G20" i="15"/>
  <c r="H20" i="15"/>
  <c r="G21" i="15"/>
  <c r="H21" i="15"/>
  <c r="G22" i="15"/>
  <c r="H22" i="15"/>
  <c r="G23" i="15"/>
  <c r="H23" i="15"/>
  <c r="G24" i="15"/>
  <c r="H24" i="15"/>
  <c r="G25" i="15"/>
  <c r="H25" i="15"/>
  <c r="G26" i="15"/>
  <c r="H26" i="15"/>
  <c r="G27" i="15"/>
  <c r="H27" i="15"/>
  <c r="G28" i="15"/>
  <c r="H28" i="15"/>
  <c r="G29" i="15"/>
  <c r="H29" i="15"/>
  <c r="G30" i="15"/>
  <c r="H30" i="15"/>
  <c r="G31" i="15"/>
  <c r="H31" i="15"/>
  <c r="G32" i="15"/>
  <c r="H32" i="15"/>
  <c r="G33" i="15"/>
  <c r="H33" i="15"/>
  <c r="G34" i="15"/>
  <c r="H34" i="15"/>
  <c r="G35" i="15"/>
  <c r="H35" i="15"/>
  <c r="G36" i="15"/>
  <c r="H36" i="15"/>
  <c r="G37" i="15"/>
  <c r="H37" i="15"/>
  <c r="G38" i="15"/>
  <c r="H38" i="15"/>
  <c r="G39" i="15"/>
  <c r="H39" i="15"/>
  <c r="G40" i="15"/>
  <c r="H40" i="15"/>
  <c r="G41" i="15"/>
  <c r="H41" i="15"/>
  <c r="G42" i="15"/>
  <c r="H42" i="15"/>
  <c r="G43" i="15"/>
  <c r="H43" i="15"/>
  <c r="G44" i="15"/>
  <c r="H44" i="15"/>
  <c r="G45" i="15"/>
  <c r="H45" i="15"/>
  <c r="G46" i="15"/>
  <c r="H46" i="15"/>
  <c r="G47" i="15"/>
  <c r="H47" i="15"/>
  <c r="G48" i="15"/>
  <c r="H48" i="15"/>
  <c r="G49" i="15"/>
  <c r="H49" i="15"/>
  <c r="G50" i="15"/>
  <c r="H50" i="15"/>
  <c r="G51" i="15"/>
  <c r="H51" i="15"/>
  <c r="G52" i="15"/>
  <c r="H52" i="15"/>
  <c r="G53" i="15"/>
  <c r="H53" i="15"/>
  <c r="G54" i="15"/>
  <c r="H54" i="15"/>
  <c r="G55" i="15"/>
  <c r="H55" i="15"/>
  <c r="G56" i="15"/>
  <c r="H56" i="15"/>
  <c r="G57" i="15"/>
  <c r="H57" i="15"/>
  <c r="G58" i="15"/>
  <c r="H58" i="15"/>
  <c r="G59" i="15"/>
  <c r="H59" i="15"/>
  <c r="G60" i="15"/>
  <c r="H60" i="15"/>
  <c r="G61" i="15"/>
  <c r="H61" i="15"/>
  <c r="G62" i="15"/>
  <c r="H62" i="15"/>
  <c r="G63" i="15"/>
  <c r="H63" i="15"/>
  <c r="G64" i="15"/>
  <c r="H64" i="15"/>
  <c r="G65" i="15"/>
  <c r="H65" i="15"/>
  <c r="G66" i="15"/>
  <c r="H66" i="15"/>
  <c r="G67" i="15"/>
  <c r="H67" i="15"/>
  <c r="G68" i="15"/>
  <c r="H68" i="15"/>
  <c r="G69" i="15"/>
  <c r="H69" i="15"/>
  <c r="G70" i="15"/>
  <c r="H70" i="15"/>
  <c r="G71" i="15"/>
  <c r="H71" i="15"/>
  <c r="G72" i="15"/>
  <c r="H72" i="15"/>
  <c r="G73" i="15"/>
  <c r="H73" i="15"/>
  <c r="G74" i="15"/>
  <c r="H74" i="15"/>
  <c r="G75" i="15"/>
  <c r="H75" i="15"/>
  <c r="G76" i="15"/>
  <c r="H76" i="15"/>
  <c r="G77" i="15"/>
  <c r="H77" i="15"/>
  <c r="G78" i="15"/>
  <c r="H78" i="15"/>
  <c r="G79" i="15"/>
  <c r="H79" i="15"/>
  <c r="G80" i="15"/>
  <c r="H80" i="15"/>
  <c r="G81" i="15"/>
  <c r="H81" i="15"/>
  <c r="G82" i="15"/>
  <c r="H82" i="15"/>
  <c r="G83" i="15"/>
  <c r="H83" i="15"/>
  <c r="G84" i="15"/>
  <c r="H84" i="15"/>
  <c r="G85" i="15"/>
  <c r="H85" i="15"/>
  <c r="G86" i="15"/>
  <c r="H86" i="15"/>
  <c r="G87" i="15"/>
  <c r="H87" i="15"/>
  <c r="G88" i="15"/>
  <c r="H88" i="15"/>
  <c r="G89" i="15"/>
  <c r="H89" i="15"/>
  <c r="G90" i="15"/>
  <c r="H90" i="15"/>
  <c r="G91" i="15"/>
  <c r="H91" i="15"/>
  <c r="G92" i="15"/>
  <c r="H92" i="15"/>
  <c r="G93" i="15"/>
  <c r="H93" i="15"/>
  <c r="G94" i="15"/>
  <c r="H94" i="15"/>
  <c r="G95" i="15"/>
  <c r="H95" i="15"/>
  <c r="G96" i="15"/>
  <c r="H96" i="15"/>
  <c r="G97" i="15"/>
  <c r="H97" i="15"/>
  <c r="G98" i="15"/>
  <c r="H98" i="15"/>
  <c r="G99" i="15"/>
  <c r="H99" i="15"/>
  <c r="G100" i="15"/>
  <c r="H100" i="15"/>
  <c r="G101" i="15"/>
  <c r="H101" i="15"/>
  <c r="G102" i="15"/>
  <c r="H102" i="15"/>
  <c r="G103" i="15"/>
  <c r="H103" i="15"/>
  <c r="G104" i="15"/>
  <c r="H104" i="15"/>
  <c r="G105" i="15"/>
  <c r="H105" i="15"/>
  <c r="G106" i="15"/>
  <c r="H106" i="15"/>
  <c r="G107" i="15"/>
  <c r="H107" i="15"/>
  <c r="G108" i="15"/>
  <c r="H108" i="15"/>
  <c r="G109" i="15"/>
  <c r="H109" i="15"/>
  <c r="G110" i="15"/>
  <c r="H110" i="15"/>
  <c r="G111" i="15"/>
  <c r="H111" i="15"/>
  <c r="G112" i="15"/>
  <c r="H112" i="15"/>
  <c r="G113" i="15"/>
  <c r="H113" i="15"/>
  <c r="G114" i="15"/>
  <c r="H114" i="15"/>
  <c r="G115" i="15"/>
  <c r="H115" i="15"/>
  <c r="G116" i="15"/>
  <c r="H116" i="15"/>
  <c r="G117" i="15"/>
  <c r="H117" i="15"/>
  <c r="G118" i="15"/>
  <c r="H118" i="15"/>
  <c r="G119" i="15"/>
  <c r="H119" i="15"/>
  <c r="G120" i="15"/>
  <c r="H120" i="15"/>
  <c r="G121" i="15"/>
  <c r="H121" i="15"/>
  <c r="G122" i="15"/>
  <c r="H122" i="15"/>
  <c r="G123" i="15"/>
  <c r="H123" i="15"/>
  <c r="G124" i="15"/>
  <c r="H124" i="15"/>
  <c r="G125" i="15"/>
  <c r="H125" i="15"/>
  <c r="G126" i="15"/>
  <c r="H126" i="15"/>
  <c r="G127" i="15"/>
  <c r="H127" i="15"/>
  <c r="G128" i="15"/>
  <c r="H128" i="15"/>
  <c r="G129" i="15"/>
  <c r="H129" i="15"/>
  <c r="G130" i="15"/>
  <c r="H130" i="15"/>
  <c r="G131" i="15"/>
  <c r="H131" i="15"/>
  <c r="G132" i="15"/>
  <c r="H132" i="15"/>
  <c r="G133" i="15"/>
  <c r="H133" i="15"/>
  <c r="G134" i="15"/>
  <c r="H134" i="15"/>
  <c r="G135" i="15"/>
  <c r="H135" i="15"/>
  <c r="G136" i="15"/>
  <c r="H136" i="15"/>
  <c r="G137" i="15"/>
  <c r="H137" i="15"/>
  <c r="G138" i="15"/>
  <c r="H138" i="15"/>
  <c r="G139" i="15"/>
  <c r="H139" i="15"/>
  <c r="G140" i="15"/>
  <c r="H140" i="15"/>
  <c r="G141" i="15"/>
  <c r="H141" i="15"/>
  <c r="G142" i="15"/>
  <c r="H142" i="15"/>
  <c r="G143" i="15"/>
  <c r="H143" i="15"/>
  <c r="G144" i="15"/>
  <c r="H144" i="15"/>
  <c r="G145" i="15"/>
  <c r="H145" i="15"/>
  <c r="G146" i="15"/>
  <c r="H146" i="15"/>
  <c r="G147" i="15"/>
  <c r="H147" i="15"/>
  <c r="G148" i="15"/>
  <c r="H148" i="15"/>
  <c r="G149" i="15"/>
  <c r="H149" i="15"/>
  <c r="G150" i="15"/>
  <c r="H150" i="15"/>
  <c r="G151" i="15"/>
  <c r="H151" i="15"/>
  <c r="G152" i="15"/>
  <c r="H152" i="15"/>
  <c r="G153" i="15"/>
  <c r="H153" i="15"/>
  <c r="G154" i="15"/>
  <c r="H154" i="15"/>
  <c r="G155" i="15"/>
  <c r="H155" i="15"/>
  <c r="G156" i="15"/>
  <c r="H156" i="15"/>
  <c r="G157" i="15"/>
  <c r="H157" i="15"/>
  <c r="G158" i="15"/>
  <c r="H158" i="15"/>
  <c r="G159" i="15"/>
  <c r="H159" i="15"/>
  <c r="G160" i="15"/>
  <c r="H160" i="15"/>
  <c r="G161" i="15"/>
  <c r="H161" i="15"/>
  <c r="G162" i="15"/>
  <c r="H162" i="15"/>
  <c r="G163" i="15"/>
  <c r="H163" i="15"/>
  <c r="G164" i="15"/>
  <c r="H164" i="15"/>
  <c r="G165" i="15"/>
  <c r="H165" i="15"/>
  <c r="G166" i="15"/>
  <c r="H166" i="15"/>
  <c r="G167" i="15"/>
  <c r="H167" i="15"/>
  <c r="G168" i="15"/>
  <c r="H168" i="15"/>
  <c r="G169" i="15"/>
  <c r="H169" i="15"/>
  <c r="G170" i="15"/>
  <c r="H170" i="15"/>
  <c r="G171" i="15"/>
  <c r="H171" i="15"/>
  <c r="G172" i="15"/>
  <c r="H172" i="15"/>
  <c r="G173" i="15"/>
  <c r="H173" i="15"/>
  <c r="G174" i="15"/>
  <c r="H174" i="15"/>
  <c r="G175" i="15"/>
  <c r="H175" i="15"/>
  <c r="G176" i="15"/>
  <c r="H176" i="15"/>
  <c r="G177" i="15"/>
  <c r="H177" i="15"/>
  <c r="G178" i="15"/>
  <c r="H178" i="15"/>
  <c r="G179" i="15"/>
  <c r="H179" i="15"/>
  <c r="G180" i="15"/>
  <c r="H180" i="15"/>
  <c r="G181" i="15"/>
  <c r="H181" i="15"/>
  <c r="G182" i="15"/>
  <c r="H182" i="15"/>
  <c r="G183" i="15"/>
  <c r="H183" i="15"/>
  <c r="G184" i="15"/>
  <c r="H184" i="15"/>
  <c r="G185" i="15"/>
  <c r="H185" i="15"/>
  <c r="G186" i="15"/>
  <c r="H186" i="15"/>
  <c r="G187" i="15"/>
  <c r="H187" i="15"/>
  <c r="G188" i="15"/>
  <c r="H188" i="15"/>
  <c r="G189" i="15"/>
  <c r="H189" i="15"/>
  <c r="G190" i="15"/>
  <c r="H190" i="15"/>
  <c r="G191" i="15"/>
  <c r="H191" i="15"/>
  <c r="G192" i="15"/>
  <c r="H192" i="15"/>
  <c r="G193" i="15"/>
  <c r="H193" i="15"/>
  <c r="G194" i="15"/>
  <c r="H194" i="15"/>
  <c r="G195" i="15"/>
  <c r="H195" i="15"/>
  <c r="G196" i="15"/>
  <c r="H196" i="15"/>
  <c r="G197" i="15"/>
  <c r="H197" i="15"/>
  <c r="G198" i="15"/>
  <c r="H198" i="15"/>
  <c r="G199" i="15"/>
  <c r="H199" i="15"/>
  <c r="G200" i="15"/>
  <c r="H200" i="15"/>
  <c r="G201" i="15"/>
  <c r="H201" i="15"/>
  <c r="G202" i="15"/>
  <c r="H202" i="15"/>
  <c r="G203" i="15"/>
  <c r="H203" i="15"/>
  <c r="G204" i="15"/>
  <c r="H204" i="15"/>
  <c r="G205" i="15"/>
  <c r="H205" i="15"/>
  <c r="G206" i="15"/>
  <c r="H206" i="15"/>
  <c r="G207" i="15"/>
  <c r="H207" i="15"/>
  <c r="G208" i="15"/>
  <c r="H208" i="15"/>
  <c r="G209" i="15"/>
  <c r="H209" i="15"/>
  <c r="G210" i="15"/>
  <c r="H210" i="15"/>
  <c r="G211" i="15"/>
  <c r="H211" i="15"/>
  <c r="G212" i="15"/>
  <c r="H212" i="15"/>
  <c r="G213" i="15"/>
  <c r="H213" i="15"/>
  <c r="G214" i="15"/>
  <c r="H214" i="15"/>
  <c r="G215" i="15"/>
  <c r="H215" i="15"/>
  <c r="G216" i="15"/>
  <c r="H216" i="15"/>
  <c r="G217" i="15"/>
  <c r="H217" i="15"/>
  <c r="G218" i="15"/>
  <c r="H218" i="15"/>
  <c r="G219" i="15"/>
  <c r="H219" i="15"/>
  <c r="G220" i="15"/>
  <c r="H220" i="15"/>
  <c r="G221" i="15"/>
  <c r="H221" i="15"/>
  <c r="G222" i="15"/>
  <c r="H222" i="15"/>
  <c r="G223" i="15"/>
  <c r="H223" i="15"/>
  <c r="G224" i="15"/>
  <c r="H224" i="15"/>
  <c r="G225" i="15"/>
  <c r="H225" i="15"/>
  <c r="G226" i="15"/>
  <c r="H226" i="15"/>
  <c r="G227" i="15"/>
  <c r="H227" i="15"/>
  <c r="G228" i="15"/>
  <c r="H228" i="15"/>
  <c r="G229" i="15"/>
  <c r="H229" i="15"/>
  <c r="G230" i="15"/>
  <c r="H230" i="15"/>
  <c r="G231" i="15"/>
  <c r="H231" i="15"/>
  <c r="G232" i="15"/>
  <c r="H232" i="15"/>
  <c r="G233" i="15"/>
  <c r="H233" i="15"/>
  <c r="G234" i="15"/>
  <c r="H234" i="15"/>
  <c r="G235" i="15"/>
  <c r="H235" i="15"/>
  <c r="G236" i="15"/>
  <c r="H236" i="15"/>
  <c r="G237" i="15"/>
  <c r="H237" i="15"/>
  <c r="G238" i="15"/>
  <c r="H238" i="15"/>
  <c r="G239" i="15"/>
  <c r="H239" i="15"/>
  <c r="G240" i="15"/>
  <c r="H240" i="15"/>
  <c r="G241" i="15"/>
  <c r="H241" i="15"/>
  <c r="G242" i="15"/>
  <c r="H242" i="15"/>
  <c r="G243" i="15"/>
  <c r="H243" i="15"/>
  <c r="G244" i="15"/>
  <c r="H244" i="15"/>
  <c r="G245" i="15"/>
  <c r="H245" i="15"/>
  <c r="G246" i="15"/>
  <c r="H246" i="15"/>
  <c r="G247" i="15"/>
  <c r="H247" i="15"/>
  <c r="G248" i="15"/>
  <c r="H248" i="15"/>
  <c r="G249" i="15"/>
  <c r="H249" i="15"/>
  <c r="G250" i="15"/>
  <c r="H250" i="15"/>
  <c r="G251" i="15"/>
  <c r="H251" i="15"/>
  <c r="G252" i="15"/>
  <c r="H252" i="15"/>
  <c r="G253" i="15"/>
  <c r="H253" i="15"/>
  <c r="G254" i="15"/>
  <c r="H254" i="15"/>
  <c r="G255" i="15"/>
  <c r="H255" i="15"/>
  <c r="G256" i="15"/>
  <c r="H256" i="15"/>
  <c r="G257" i="15"/>
  <c r="H257" i="15"/>
  <c r="G258" i="15"/>
  <c r="H258" i="15"/>
  <c r="G259" i="15"/>
  <c r="H259" i="15"/>
  <c r="G260" i="15"/>
  <c r="H260" i="15"/>
  <c r="G261" i="15"/>
  <c r="H261" i="15"/>
  <c r="G262" i="15"/>
  <c r="H262" i="15"/>
  <c r="G263" i="15"/>
  <c r="H263" i="15"/>
  <c r="G264" i="15"/>
  <c r="H264" i="15"/>
  <c r="G265" i="15"/>
  <c r="H265" i="15"/>
  <c r="G266" i="15"/>
  <c r="H266" i="15"/>
  <c r="G267" i="15"/>
  <c r="H267" i="15"/>
  <c r="G268" i="15"/>
  <c r="H268" i="15"/>
  <c r="G269" i="15"/>
  <c r="H269" i="15"/>
  <c r="G270" i="15"/>
  <c r="H270" i="15"/>
  <c r="G271" i="15"/>
  <c r="H271" i="15"/>
  <c r="G272" i="15"/>
  <c r="H272" i="15"/>
  <c r="G273" i="15"/>
  <c r="H273" i="15"/>
  <c r="G274" i="15"/>
  <c r="H274" i="15"/>
  <c r="G275" i="15"/>
  <c r="H275" i="15"/>
  <c r="G276" i="15"/>
  <c r="H276" i="15"/>
  <c r="G277" i="15"/>
  <c r="H277" i="15"/>
  <c r="G278" i="15"/>
  <c r="H278" i="15"/>
  <c r="G279" i="15"/>
  <c r="H279" i="15"/>
  <c r="G280" i="15"/>
  <c r="H280" i="15"/>
  <c r="G281" i="15"/>
  <c r="H281" i="15"/>
  <c r="G282" i="15"/>
  <c r="H282" i="15"/>
  <c r="G283" i="15"/>
  <c r="H283" i="15"/>
  <c r="G284" i="15"/>
  <c r="H284" i="15"/>
  <c r="G285" i="15"/>
  <c r="H285" i="15"/>
  <c r="G286" i="15"/>
  <c r="H286" i="15"/>
  <c r="G287" i="15"/>
  <c r="H287" i="15"/>
  <c r="G288" i="15"/>
  <c r="H288" i="15"/>
  <c r="G289" i="15"/>
  <c r="H289" i="15"/>
  <c r="G290" i="15"/>
  <c r="H290" i="15"/>
  <c r="G291" i="15"/>
  <c r="H291" i="15"/>
  <c r="G292" i="15"/>
  <c r="H292" i="15"/>
  <c r="G293" i="15"/>
  <c r="H293" i="15"/>
  <c r="G294" i="15"/>
  <c r="H294" i="15"/>
  <c r="G295" i="15"/>
  <c r="H295" i="15"/>
  <c r="G296" i="15"/>
  <c r="H296" i="15"/>
  <c r="G297" i="15"/>
  <c r="H297" i="15"/>
  <c r="G298" i="15"/>
  <c r="H298" i="15"/>
  <c r="G299" i="15"/>
  <c r="H299" i="15"/>
  <c r="G300" i="15"/>
  <c r="H300" i="15"/>
  <c r="G301" i="15"/>
  <c r="H301" i="15"/>
  <c r="G302" i="15"/>
  <c r="H302" i="15"/>
  <c r="G303" i="15"/>
  <c r="H303" i="15"/>
  <c r="G304" i="15"/>
  <c r="H304" i="15"/>
  <c r="G305" i="15"/>
  <c r="H305" i="15"/>
  <c r="G306" i="15"/>
  <c r="H306" i="15"/>
  <c r="G307" i="15"/>
  <c r="H307" i="15"/>
  <c r="G308" i="15"/>
  <c r="H308" i="15"/>
  <c r="G309" i="15"/>
  <c r="H309" i="15"/>
  <c r="G310" i="15"/>
  <c r="H310" i="15"/>
  <c r="G311" i="15"/>
  <c r="H311" i="15"/>
  <c r="G312" i="15"/>
  <c r="H312" i="15"/>
  <c r="G313" i="15"/>
  <c r="H313" i="15"/>
  <c r="G314" i="15"/>
  <c r="H314" i="15"/>
  <c r="G315" i="15"/>
  <c r="H315" i="15"/>
  <c r="G316" i="15"/>
  <c r="H316" i="15"/>
  <c r="G317" i="15"/>
  <c r="H317" i="15"/>
  <c r="G318" i="15"/>
  <c r="H318" i="15"/>
  <c r="G319" i="15"/>
  <c r="H319" i="15"/>
  <c r="G320" i="15"/>
  <c r="H320" i="15"/>
  <c r="G321" i="15"/>
  <c r="H321" i="15"/>
  <c r="G322" i="15"/>
  <c r="H322" i="15"/>
  <c r="G323" i="15"/>
  <c r="H323" i="15"/>
  <c r="G324" i="15"/>
  <c r="H324" i="15"/>
  <c r="G325" i="15"/>
  <c r="H325" i="15"/>
  <c r="G326" i="15"/>
  <c r="H326" i="15"/>
  <c r="G327" i="15"/>
  <c r="H327" i="15"/>
  <c r="G328" i="15"/>
  <c r="H328" i="15"/>
  <c r="G329" i="15"/>
  <c r="H329" i="15"/>
  <c r="G330" i="15"/>
  <c r="H330" i="15"/>
  <c r="G331" i="15"/>
  <c r="H331" i="15"/>
  <c r="G332" i="15"/>
  <c r="H332" i="15"/>
  <c r="G333" i="15"/>
  <c r="H333" i="15"/>
  <c r="G334" i="15"/>
  <c r="H334" i="15"/>
  <c r="G335" i="15"/>
  <c r="H335" i="15"/>
  <c r="G336" i="15"/>
  <c r="H336" i="15"/>
  <c r="G337" i="15"/>
  <c r="H337" i="15"/>
  <c r="G338" i="15"/>
  <c r="H338" i="15"/>
  <c r="G339" i="15"/>
  <c r="H339" i="15"/>
  <c r="G340" i="15"/>
  <c r="H340" i="15"/>
  <c r="G341" i="15"/>
  <c r="H341" i="15"/>
  <c r="G342" i="15"/>
  <c r="H342" i="15"/>
  <c r="G343" i="15"/>
  <c r="H343" i="15"/>
  <c r="G344" i="15"/>
  <c r="H344" i="15"/>
  <c r="G345" i="15"/>
  <c r="H345" i="15"/>
  <c r="G346" i="15"/>
  <c r="H346" i="15"/>
  <c r="G347" i="15"/>
  <c r="H347" i="15"/>
  <c r="G348" i="15"/>
  <c r="H348" i="15"/>
  <c r="G349" i="15"/>
  <c r="H349" i="15"/>
  <c r="G350" i="15"/>
  <c r="H350" i="15"/>
  <c r="G351" i="15"/>
  <c r="H351" i="15"/>
  <c r="G352" i="15"/>
  <c r="H352" i="15"/>
  <c r="G353" i="15"/>
  <c r="H353" i="15"/>
  <c r="G354" i="15"/>
  <c r="H354" i="15"/>
  <c r="G355" i="15"/>
  <c r="H355" i="15"/>
  <c r="G356" i="15"/>
  <c r="H356" i="15"/>
  <c r="G357" i="15"/>
  <c r="H357" i="15"/>
  <c r="G358" i="15"/>
  <c r="H358" i="15"/>
  <c r="G359" i="15"/>
  <c r="H359" i="15"/>
  <c r="G360" i="15"/>
  <c r="H360" i="15"/>
  <c r="G361" i="15"/>
  <c r="H361" i="15"/>
  <c r="G362" i="15"/>
  <c r="H362" i="15"/>
  <c r="G363" i="15"/>
  <c r="H363" i="15"/>
  <c r="G364" i="15"/>
  <c r="H364" i="15"/>
  <c r="G365" i="15"/>
  <c r="H365" i="15"/>
  <c r="G366" i="15"/>
  <c r="H366" i="15"/>
  <c r="G367" i="15"/>
  <c r="H367" i="15"/>
  <c r="G368" i="15"/>
  <c r="H368" i="15"/>
  <c r="G369" i="15"/>
  <c r="H369" i="15"/>
  <c r="G370" i="15"/>
  <c r="H370" i="15"/>
  <c r="G371" i="15"/>
  <c r="H371" i="15"/>
  <c r="G372" i="15"/>
  <c r="H372" i="15"/>
  <c r="G373" i="15"/>
  <c r="H373" i="15"/>
  <c r="G374" i="15"/>
  <c r="H374" i="15"/>
  <c r="G375" i="15"/>
  <c r="H375" i="15"/>
  <c r="G376" i="15"/>
  <c r="H376" i="15"/>
  <c r="G377" i="15"/>
  <c r="H377" i="15"/>
  <c r="G378" i="15"/>
  <c r="H378" i="15"/>
  <c r="G379" i="15"/>
  <c r="H379" i="15"/>
  <c r="G380" i="15"/>
  <c r="H380" i="15"/>
  <c r="G381" i="15"/>
  <c r="H381" i="15"/>
  <c r="G382" i="15"/>
  <c r="H382" i="15"/>
  <c r="G383" i="15"/>
  <c r="H383" i="15"/>
  <c r="G384" i="15"/>
  <c r="H384" i="15"/>
  <c r="G385" i="15"/>
  <c r="H385" i="15"/>
  <c r="G386" i="15"/>
  <c r="H386" i="15"/>
  <c r="G387" i="15"/>
  <c r="H387" i="15"/>
  <c r="G388" i="15"/>
  <c r="H388" i="15"/>
  <c r="G389" i="15"/>
  <c r="H389" i="15"/>
  <c r="G390" i="15"/>
  <c r="H390" i="15"/>
  <c r="G391" i="15"/>
  <c r="H391" i="15"/>
  <c r="G392" i="15"/>
  <c r="H392" i="15"/>
  <c r="G393" i="15"/>
  <c r="H393" i="15"/>
  <c r="G394" i="15"/>
  <c r="H394" i="15"/>
  <c r="G395" i="15"/>
  <c r="H395" i="15"/>
  <c r="G396" i="15"/>
  <c r="H396" i="15"/>
  <c r="G397" i="15"/>
  <c r="H397" i="15"/>
  <c r="G398" i="15"/>
  <c r="H398" i="15"/>
  <c r="G399" i="15"/>
  <c r="H399" i="15"/>
  <c r="G400" i="15"/>
  <c r="H400" i="15"/>
  <c r="G401" i="15"/>
  <c r="H401" i="15"/>
  <c r="G402" i="15"/>
  <c r="H402" i="15"/>
  <c r="G403" i="15"/>
  <c r="H403" i="15"/>
  <c r="G404" i="15"/>
  <c r="H404" i="15"/>
  <c r="G405" i="15"/>
  <c r="H405" i="15"/>
  <c r="G406" i="15"/>
  <c r="H406" i="15"/>
  <c r="G407" i="15"/>
  <c r="H407" i="15"/>
  <c r="G408" i="15"/>
  <c r="H408" i="15"/>
  <c r="G409" i="15"/>
  <c r="H409" i="15"/>
  <c r="G410" i="15"/>
  <c r="H410" i="15"/>
  <c r="G411" i="15"/>
  <c r="H411" i="15"/>
  <c r="G412" i="15"/>
  <c r="H412" i="15"/>
  <c r="G413" i="15"/>
  <c r="H413" i="15"/>
  <c r="G414" i="15"/>
  <c r="H414" i="15"/>
  <c r="G415" i="15"/>
  <c r="H415" i="15"/>
  <c r="G416" i="15"/>
  <c r="H416" i="15"/>
  <c r="G417" i="15"/>
  <c r="H417" i="15"/>
  <c r="G418" i="15"/>
  <c r="H418" i="15"/>
  <c r="G419" i="15"/>
  <c r="H419" i="15"/>
  <c r="G420" i="15"/>
  <c r="H420" i="15"/>
  <c r="G421" i="15"/>
  <c r="H421" i="15"/>
  <c r="G422" i="15"/>
  <c r="H422" i="15"/>
  <c r="G423" i="15"/>
  <c r="H423" i="15"/>
  <c r="G424" i="15"/>
  <c r="H424" i="15"/>
  <c r="G425" i="15"/>
  <c r="H425" i="15"/>
  <c r="G426" i="15"/>
  <c r="H426" i="15"/>
  <c r="G427" i="15"/>
  <c r="H427" i="15"/>
  <c r="G428" i="15"/>
  <c r="H428" i="15"/>
  <c r="G429" i="15"/>
  <c r="H429" i="15"/>
  <c r="G430" i="15"/>
  <c r="H430" i="15"/>
  <c r="G431" i="15"/>
  <c r="H431" i="15"/>
  <c r="G432" i="15"/>
  <c r="H432" i="15"/>
  <c r="G433" i="15"/>
  <c r="H433" i="15"/>
  <c r="G434" i="15"/>
  <c r="H434" i="15"/>
  <c r="G435" i="15"/>
  <c r="H435" i="15"/>
  <c r="G436" i="15"/>
  <c r="H436" i="15"/>
  <c r="G437" i="15"/>
  <c r="H437" i="15"/>
  <c r="G438" i="15"/>
  <c r="H438" i="15"/>
  <c r="G439" i="15"/>
  <c r="H439" i="15"/>
  <c r="G440" i="15"/>
  <c r="H440" i="15"/>
  <c r="G441" i="15"/>
  <c r="H441" i="15"/>
  <c r="G442" i="15"/>
  <c r="H442" i="15"/>
  <c r="G443" i="15"/>
  <c r="H443" i="15"/>
  <c r="G444" i="15"/>
  <c r="H444" i="15"/>
  <c r="G445" i="15"/>
  <c r="H445" i="15"/>
  <c r="G446" i="15"/>
  <c r="H446" i="15"/>
  <c r="G447" i="15"/>
  <c r="H447" i="15"/>
  <c r="G448" i="15"/>
  <c r="H448" i="15"/>
  <c r="G449" i="15"/>
  <c r="H449" i="15"/>
  <c r="G450" i="15"/>
  <c r="H450" i="15"/>
  <c r="G451" i="15"/>
  <c r="H451" i="15"/>
  <c r="G452" i="15"/>
  <c r="H452" i="15"/>
  <c r="G453" i="15"/>
  <c r="H453" i="15"/>
  <c r="G454" i="15"/>
  <c r="H454" i="15"/>
  <c r="G455" i="15"/>
  <c r="H455" i="15"/>
  <c r="G456" i="15"/>
  <c r="H456" i="15"/>
  <c r="G457" i="15"/>
  <c r="H457" i="15"/>
  <c r="G458" i="15"/>
  <c r="H458" i="15"/>
  <c r="G459" i="15"/>
  <c r="H459" i="15"/>
  <c r="G460" i="15"/>
  <c r="H460" i="15"/>
  <c r="G461" i="15"/>
  <c r="H461" i="15"/>
  <c r="G462" i="15"/>
  <c r="H462" i="15"/>
  <c r="G463" i="15"/>
  <c r="H463" i="15"/>
  <c r="G464" i="15"/>
  <c r="H464" i="15"/>
  <c r="G465" i="15"/>
  <c r="H465" i="15"/>
  <c r="G466" i="15"/>
  <c r="H466" i="15"/>
  <c r="G467" i="15"/>
  <c r="H467" i="15"/>
  <c r="G468" i="15"/>
  <c r="H468" i="15"/>
  <c r="G469" i="15"/>
  <c r="H469" i="15"/>
  <c r="G470" i="15"/>
  <c r="H470" i="15"/>
  <c r="G471" i="15"/>
  <c r="H471" i="15"/>
  <c r="G472" i="15"/>
  <c r="H472" i="15"/>
  <c r="G473" i="15"/>
  <c r="H473" i="15"/>
  <c r="G474" i="15"/>
  <c r="H474" i="15"/>
  <c r="G475" i="15"/>
  <c r="H475" i="15"/>
  <c r="G476" i="15"/>
  <c r="H476" i="15"/>
  <c r="G477" i="15"/>
  <c r="H477" i="15"/>
  <c r="G478" i="15"/>
  <c r="H478" i="15"/>
  <c r="G479" i="15"/>
  <c r="H479" i="15"/>
  <c r="G480" i="15"/>
  <c r="H480" i="15"/>
  <c r="G481" i="15"/>
  <c r="H481" i="15"/>
  <c r="G482" i="15"/>
  <c r="H482" i="15"/>
  <c r="G483" i="15"/>
  <c r="H483" i="15"/>
  <c r="G484" i="15"/>
  <c r="H484" i="15"/>
  <c r="G485" i="15"/>
  <c r="H485" i="15"/>
  <c r="G486" i="15"/>
  <c r="H486" i="15"/>
  <c r="G487" i="15"/>
  <c r="H487" i="15"/>
  <c r="G488" i="15"/>
  <c r="H488" i="15"/>
  <c r="G489" i="15"/>
  <c r="H489" i="15"/>
  <c r="G490" i="15"/>
  <c r="H490" i="15"/>
  <c r="G491" i="15"/>
  <c r="H491" i="15"/>
  <c r="G492" i="15"/>
  <c r="H492" i="15"/>
  <c r="G493" i="15"/>
  <c r="H493" i="15"/>
  <c r="G494" i="15"/>
  <c r="H494" i="15"/>
  <c r="G495" i="15"/>
  <c r="H495" i="15"/>
  <c r="G496" i="15"/>
  <c r="H496" i="15"/>
  <c r="G497" i="15"/>
  <c r="H497" i="15"/>
  <c r="G498" i="15"/>
  <c r="H498" i="15"/>
  <c r="G499" i="15"/>
  <c r="H499" i="15"/>
  <c r="G500" i="15"/>
  <c r="H500" i="15"/>
  <c r="G501" i="15"/>
  <c r="H501" i="15"/>
  <c r="G502" i="15"/>
  <c r="H502" i="15"/>
  <c r="G503" i="15"/>
  <c r="H503" i="15"/>
  <c r="G504" i="15"/>
  <c r="H504" i="15"/>
  <c r="G505" i="15"/>
  <c r="H505" i="15"/>
  <c r="G506" i="15"/>
  <c r="H506" i="15"/>
  <c r="G507" i="15"/>
  <c r="H507" i="15"/>
  <c r="G508" i="15"/>
  <c r="H508" i="15"/>
  <c r="G509" i="15"/>
  <c r="H509" i="15"/>
  <c r="G510" i="15"/>
  <c r="H510" i="15"/>
  <c r="G511" i="15"/>
  <c r="H511" i="15"/>
  <c r="G512" i="15"/>
  <c r="H512" i="15"/>
  <c r="G513" i="15"/>
  <c r="H513" i="15"/>
  <c r="G514" i="15"/>
  <c r="H514" i="15"/>
  <c r="G515" i="15"/>
  <c r="H515" i="15"/>
  <c r="G516" i="15"/>
  <c r="H516" i="15"/>
  <c r="G517" i="15"/>
  <c r="H517" i="15"/>
  <c r="G518" i="15"/>
  <c r="H518" i="15"/>
  <c r="G519" i="15"/>
  <c r="H519" i="15"/>
  <c r="G520" i="15"/>
  <c r="H520" i="15"/>
  <c r="G521" i="15"/>
  <c r="H521" i="15"/>
  <c r="G522" i="15"/>
  <c r="H522" i="15"/>
  <c r="G523" i="15"/>
  <c r="H523" i="15"/>
  <c r="G524" i="15"/>
  <c r="H524" i="15"/>
  <c r="G525" i="15"/>
  <c r="H525" i="15"/>
  <c r="G526" i="15"/>
  <c r="H526" i="15"/>
  <c r="G527" i="15"/>
  <c r="H527" i="15"/>
  <c r="G528" i="15"/>
  <c r="H528" i="15"/>
  <c r="G529" i="15"/>
  <c r="H529" i="15"/>
  <c r="G530" i="15"/>
  <c r="H530" i="15"/>
  <c r="G531" i="15"/>
  <c r="H531" i="15"/>
  <c r="G532" i="15"/>
  <c r="H532" i="15"/>
  <c r="G533" i="15"/>
  <c r="H533" i="15"/>
  <c r="G534" i="15"/>
  <c r="H534" i="15"/>
  <c r="G535" i="15"/>
  <c r="H535" i="15"/>
  <c r="G536" i="15"/>
  <c r="H536" i="15"/>
  <c r="G537" i="15"/>
  <c r="H537" i="15"/>
  <c r="G538" i="15"/>
  <c r="H538" i="15"/>
  <c r="G539" i="15"/>
  <c r="H539" i="15"/>
  <c r="G540" i="15"/>
  <c r="H540" i="15"/>
  <c r="G541" i="15"/>
  <c r="H541" i="15"/>
  <c r="G542" i="15"/>
  <c r="H542" i="15"/>
  <c r="G543" i="15"/>
  <c r="H543" i="15"/>
  <c r="G544" i="15"/>
  <c r="H544" i="15"/>
  <c r="G545" i="15"/>
  <c r="H545" i="15"/>
  <c r="G546" i="15"/>
  <c r="H546" i="15"/>
  <c r="G547" i="15"/>
  <c r="H547" i="15"/>
  <c r="G548" i="15"/>
  <c r="H548" i="15"/>
  <c r="G549" i="15"/>
  <c r="H549" i="15"/>
  <c r="G550" i="15"/>
  <c r="H550" i="15"/>
  <c r="G551" i="15"/>
  <c r="H551" i="15"/>
  <c r="G552" i="15"/>
  <c r="H552" i="15"/>
  <c r="G553" i="15"/>
  <c r="H553" i="15"/>
  <c r="G554" i="15"/>
  <c r="H554" i="15"/>
  <c r="G555" i="15"/>
  <c r="H555" i="15"/>
  <c r="G556" i="15"/>
  <c r="H556" i="15"/>
  <c r="G557" i="15"/>
  <c r="H557" i="15"/>
  <c r="G558" i="15"/>
  <c r="H558" i="15"/>
  <c r="G559" i="15"/>
  <c r="H559" i="15"/>
  <c r="G560" i="15"/>
  <c r="H560" i="15"/>
  <c r="G561" i="15"/>
  <c r="H561" i="15"/>
  <c r="G562" i="15"/>
  <c r="H562" i="15"/>
  <c r="G563" i="15"/>
  <c r="H563" i="15"/>
  <c r="G564" i="15"/>
  <c r="H564" i="15"/>
  <c r="G565" i="15"/>
  <c r="H565" i="15"/>
  <c r="G566" i="15"/>
  <c r="H566" i="15"/>
  <c r="G567" i="15"/>
  <c r="H567" i="15"/>
  <c r="G568" i="15"/>
  <c r="H568" i="15"/>
  <c r="G569" i="15"/>
  <c r="H569" i="15"/>
  <c r="G570" i="15"/>
  <c r="H570" i="15"/>
  <c r="G571" i="15"/>
  <c r="H571" i="15"/>
  <c r="G572" i="15"/>
  <c r="H572" i="15"/>
  <c r="G573" i="15"/>
  <c r="H573" i="15"/>
  <c r="G574" i="15"/>
  <c r="H574" i="15"/>
  <c r="G575" i="15"/>
  <c r="H575" i="15"/>
  <c r="G576" i="15"/>
  <c r="H576" i="15"/>
  <c r="G577" i="15"/>
  <c r="H577" i="15"/>
  <c r="G578" i="15"/>
  <c r="H578" i="15"/>
  <c r="G579" i="15"/>
  <c r="H579" i="15"/>
  <c r="G580" i="15"/>
  <c r="H580" i="15"/>
  <c r="G581" i="15"/>
  <c r="H581" i="15"/>
  <c r="G582" i="15"/>
  <c r="H582" i="15"/>
  <c r="G583" i="15"/>
  <c r="H583" i="15"/>
  <c r="G584" i="15"/>
  <c r="H584" i="15"/>
  <c r="G585" i="15"/>
  <c r="H585" i="15"/>
  <c r="G586" i="15"/>
  <c r="H586" i="15"/>
  <c r="G587" i="15"/>
  <c r="H587" i="15"/>
  <c r="G588" i="15"/>
  <c r="H588" i="15"/>
  <c r="G589" i="15"/>
  <c r="H589" i="15"/>
  <c r="G590" i="15"/>
  <c r="H590" i="15"/>
  <c r="G591" i="15"/>
  <c r="H591" i="15"/>
  <c r="G592" i="15"/>
  <c r="H592" i="15"/>
  <c r="G593" i="15"/>
  <c r="H593" i="15"/>
  <c r="G594" i="15"/>
  <c r="H594" i="15"/>
  <c r="G595" i="15"/>
  <c r="H595" i="15"/>
  <c r="G596" i="15"/>
  <c r="H596" i="15"/>
  <c r="G597" i="15"/>
  <c r="H597" i="15"/>
  <c r="G598" i="15"/>
  <c r="H598" i="15"/>
  <c r="G599" i="15"/>
  <c r="H599" i="15"/>
  <c r="G600" i="15"/>
  <c r="H600" i="15"/>
  <c r="G601" i="15"/>
  <c r="H601" i="15"/>
  <c r="G602" i="15"/>
  <c r="H602" i="15"/>
  <c r="G603" i="15"/>
  <c r="H603" i="15"/>
  <c r="G604" i="15"/>
  <c r="H604" i="15"/>
  <c r="G605" i="15"/>
  <c r="H605" i="15"/>
  <c r="G606" i="15"/>
  <c r="H606" i="15"/>
  <c r="G607" i="15"/>
  <c r="H607" i="15"/>
  <c r="G608" i="15"/>
  <c r="H608" i="15"/>
  <c r="G609" i="15"/>
  <c r="H609" i="15"/>
  <c r="G610" i="15"/>
  <c r="H610" i="15"/>
  <c r="G611" i="15"/>
  <c r="H611" i="15"/>
  <c r="G612" i="15"/>
  <c r="H612" i="15"/>
  <c r="G613" i="15"/>
  <c r="H613" i="15"/>
  <c r="G614" i="15"/>
  <c r="H614" i="15"/>
  <c r="G615" i="15"/>
  <c r="H615" i="15"/>
  <c r="G616" i="15"/>
  <c r="H616" i="15"/>
  <c r="G617" i="15"/>
  <c r="H617" i="15"/>
  <c r="G618" i="15"/>
  <c r="H618" i="15"/>
  <c r="G619" i="15"/>
  <c r="H619" i="15"/>
  <c r="G620" i="15"/>
  <c r="H620" i="15"/>
  <c r="G621" i="15"/>
  <c r="H621" i="15"/>
  <c r="G622" i="15"/>
  <c r="H622" i="15"/>
  <c r="G623" i="15"/>
  <c r="H623" i="15"/>
  <c r="G624" i="15"/>
  <c r="H624" i="15"/>
  <c r="G625" i="15"/>
  <c r="H625" i="15"/>
  <c r="G626" i="15"/>
  <c r="H626" i="15"/>
  <c r="G627" i="15"/>
  <c r="H627" i="15"/>
  <c r="G628" i="15"/>
  <c r="H628" i="15"/>
  <c r="G629" i="15"/>
  <c r="H629" i="15"/>
  <c r="G630" i="15"/>
  <c r="H630" i="15"/>
  <c r="G631" i="15"/>
  <c r="H631" i="15"/>
  <c r="G632" i="15"/>
  <c r="H632" i="15"/>
  <c r="G633" i="15"/>
  <c r="H633" i="15"/>
  <c r="G634" i="15"/>
  <c r="H634" i="15"/>
  <c r="G635" i="15"/>
  <c r="H635" i="15"/>
  <c r="G636" i="15"/>
  <c r="H636" i="15"/>
  <c r="G637" i="15"/>
  <c r="H637" i="15"/>
  <c r="G638" i="15"/>
  <c r="H638" i="15"/>
  <c r="G639" i="15"/>
  <c r="H639" i="15"/>
  <c r="G640" i="15"/>
  <c r="H640" i="15"/>
  <c r="G641" i="15"/>
  <c r="H641" i="15"/>
  <c r="G642" i="15"/>
  <c r="H642" i="15"/>
  <c r="G643" i="15"/>
  <c r="H643" i="15"/>
  <c r="G644" i="15"/>
  <c r="H644" i="15"/>
  <c r="G645" i="15"/>
  <c r="H645" i="15"/>
  <c r="G646" i="15"/>
  <c r="H646" i="15"/>
  <c r="G647" i="15"/>
  <c r="H647" i="15"/>
  <c r="G648" i="15"/>
  <c r="H648" i="15"/>
  <c r="G649" i="15"/>
  <c r="H649" i="15"/>
  <c r="G650" i="15"/>
  <c r="H650" i="15"/>
  <c r="G651" i="15"/>
  <c r="H651" i="15"/>
  <c r="G652" i="15"/>
  <c r="H652" i="15"/>
  <c r="G653" i="15"/>
  <c r="H653" i="15"/>
  <c r="G654" i="15"/>
  <c r="H654" i="15"/>
  <c r="G655" i="15"/>
  <c r="H655" i="15"/>
  <c r="G656" i="15"/>
  <c r="H656" i="15"/>
  <c r="G657" i="15"/>
  <c r="H657" i="15"/>
  <c r="G658" i="15"/>
  <c r="H658" i="15"/>
  <c r="G659" i="15"/>
  <c r="H659" i="15"/>
  <c r="G660" i="15"/>
  <c r="H660" i="15"/>
  <c r="G661" i="15"/>
  <c r="H661" i="15"/>
  <c r="G662" i="15"/>
  <c r="H662" i="15"/>
  <c r="G663" i="15"/>
  <c r="H663" i="15"/>
  <c r="G664" i="15"/>
  <c r="H664" i="15"/>
  <c r="G665" i="15"/>
  <c r="H665" i="15"/>
  <c r="G666" i="15"/>
  <c r="H666" i="15"/>
  <c r="G667" i="15"/>
  <c r="H667" i="15"/>
  <c r="G668" i="15"/>
  <c r="H668" i="15"/>
  <c r="G669" i="15"/>
  <c r="H669" i="15"/>
  <c r="G670" i="15"/>
  <c r="H670" i="15"/>
  <c r="G671" i="15"/>
  <c r="H671" i="15"/>
  <c r="G672" i="15"/>
  <c r="H672" i="15"/>
  <c r="G673" i="15"/>
  <c r="H673" i="15"/>
  <c r="G674" i="15"/>
  <c r="H674" i="15"/>
  <c r="G675" i="15"/>
  <c r="H675" i="15"/>
  <c r="G676" i="15"/>
  <c r="H676" i="15"/>
  <c r="G677" i="15"/>
  <c r="H677" i="15"/>
  <c r="G678" i="15"/>
  <c r="H678" i="15"/>
  <c r="G679" i="15"/>
  <c r="H679" i="15"/>
  <c r="G680" i="15"/>
  <c r="H680" i="15"/>
  <c r="G681" i="15"/>
  <c r="H681" i="15"/>
  <c r="G682" i="15"/>
  <c r="H682" i="15"/>
  <c r="G683" i="15"/>
  <c r="H683" i="15"/>
  <c r="G684" i="15"/>
  <c r="H684" i="15"/>
  <c r="G685" i="15"/>
  <c r="H685" i="15"/>
  <c r="G686" i="15"/>
  <c r="H686" i="15"/>
  <c r="G687" i="15"/>
  <c r="H687" i="15"/>
  <c r="G688" i="15"/>
  <c r="H688" i="15"/>
  <c r="G689" i="15"/>
  <c r="H689" i="15"/>
  <c r="G690" i="15"/>
  <c r="H690" i="15"/>
  <c r="G691" i="15"/>
  <c r="H691" i="15"/>
  <c r="G692" i="15"/>
  <c r="H692" i="15"/>
  <c r="G693" i="15"/>
  <c r="H693" i="15"/>
  <c r="G694" i="15"/>
  <c r="H694" i="15"/>
  <c r="G695" i="15"/>
  <c r="H695" i="15"/>
  <c r="G696" i="15"/>
  <c r="H696" i="15"/>
  <c r="G697" i="15"/>
  <c r="H697" i="15"/>
  <c r="G698" i="15"/>
  <c r="H698" i="15"/>
  <c r="G699" i="15"/>
  <c r="H699" i="15"/>
  <c r="G700" i="15"/>
  <c r="H700" i="15"/>
  <c r="G701" i="15"/>
  <c r="H701" i="15"/>
  <c r="G702" i="15"/>
  <c r="H702" i="15"/>
  <c r="G703" i="15"/>
  <c r="H703" i="15"/>
  <c r="G704" i="15"/>
  <c r="H704" i="15"/>
  <c r="G705" i="15"/>
  <c r="H705" i="15"/>
  <c r="G706" i="15"/>
  <c r="H706" i="15"/>
  <c r="G707" i="15"/>
  <c r="H707" i="15"/>
  <c r="G708" i="15"/>
  <c r="H708" i="15"/>
  <c r="G709" i="15"/>
  <c r="H709" i="15"/>
  <c r="G710" i="15"/>
  <c r="H710" i="15"/>
  <c r="G711" i="15"/>
  <c r="H711" i="15"/>
  <c r="G712" i="15"/>
  <c r="H712" i="15"/>
  <c r="G713" i="15"/>
  <c r="H713" i="15"/>
  <c r="G714" i="15"/>
  <c r="H714" i="15"/>
  <c r="G715" i="15"/>
  <c r="H715" i="15"/>
  <c r="G716" i="15"/>
  <c r="H716" i="15"/>
  <c r="G717" i="15"/>
  <c r="H717" i="15"/>
  <c r="G718" i="15"/>
  <c r="H718" i="15"/>
  <c r="G719" i="15"/>
  <c r="H719" i="15"/>
  <c r="G720" i="15"/>
  <c r="H720" i="15"/>
  <c r="G721" i="15"/>
  <c r="H721" i="15"/>
  <c r="G722" i="15"/>
  <c r="H722" i="15"/>
  <c r="G723" i="15"/>
  <c r="H723" i="15"/>
  <c r="G724" i="15"/>
  <c r="H724" i="15"/>
  <c r="G725" i="15"/>
  <c r="H725" i="15"/>
  <c r="G726" i="15"/>
  <c r="H726" i="15"/>
  <c r="G727" i="15"/>
  <c r="H727" i="15"/>
  <c r="G728" i="15"/>
  <c r="H728" i="15"/>
  <c r="G729" i="15"/>
  <c r="H729" i="15"/>
  <c r="G730" i="15"/>
  <c r="H730" i="15"/>
  <c r="G731" i="15"/>
  <c r="H731" i="15"/>
  <c r="G732" i="15"/>
  <c r="H732" i="15"/>
  <c r="G733" i="15"/>
  <c r="H733" i="15"/>
  <c r="G734" i="15"/>
  <c r="H734" i="15"/>
  <c r="G735" i="15"/>
  <c r="H735" i="15"/>
  <c r="G736" i="15"/>
  <c r="H736" i="15"/>
  <c r="G737" i="15"/>
  <c r="H737" i="15"/>
  <c r="G738" i="15"/>
  <c r="H738" i="15"/>
  <c r="G739" i="15"/>
  <c r="H739" i="15"/>
  <c r="G740" i="15"/>
  <c r="H740" i="15"/>
  <c r="G743" i="15"/>
  <c r="H743" i="15"/>
  <c r="G744" i="15"/>
  <c r="H744" i="15"/>
  <c r="AF1" i="12" l="1"/>
  <c r="AI2" i="12"/>
  <c r="AJ2" i="12"/>
  <c r="AM2" i="12"/>
  <c r="AK2" i="12" s="1" a="1"/>
  <c r="AK2" i="12" s="1"/>
  <c r="O3" i="12"/>
  <c r="Q3" i="12"/>
  <c r="AI3" i="12"/>
  <c r="AJ3" i="12"/>
  <c r="AM3" i="12"/>
  <c r="AK3" i="12" s="1" a="1"/>
  <c r="AK3" i="12" s="1"/>
  <c r="O4" i="12"/>
  <c r="Q4" i="12" s="1"/>
  <c r="AI4" i="12"/>
  <c r="AJ4" i="12"/>
  <c r="AM4" i="12"/>
  <c r="AK4" i="12" s="1" a="1"/>
  <c r="AK4" i="12" s="1"/>
  <c r="O5" i="12"/>
  <c r="Q5" i="12" s="1"/>
  <c r="AI5" i="12"/>
  <c r="AJ5" i="12"/>
  <c r="AK5" i="12" a="1"/>
  <c r="AK5" i="12" s="1"/>
  <c r="AM5" i="12"/>
  <c r="O6" i="12"/>
  <c r="Q6" i="12" s="1"/>
  <c r="AI6" i="12"/>
  <c r="AJ6" i="12"/>
  <c r="AK6" i="12"/>
  <c r="AM6" i="12"/>
  <c r="AK6" i="12" s="1" a="1"/>
  <c r="O7" i="12"/>
  <c r="Q7" i="12"/>
  <c r="AI7" i="12"/>
  <c r="AJ7" i="12"/>
  <c r="AM7" i="12"/>
  <c r="AK7" i="12" s="1" a="1"/>
  <c r="AK7" i="12" s="1"/>
  <c r="O8" i="12"/>
  <c r="Q8" i="12" s="1"/>
  <c r="AI8" i="12"/>
  <c r="AJ8" i="12"/>
  <c r="AM8" i="12"/>
  <c r="AK8" i="12" s="1" a="1"/>
  <c r="AK8" i="12" s="1"/>
  <c r="O9" i="12"/>
  <c r="Q9" i="12" s="1"/>
  <c r="AI9" i="12"/>
  <c r="AJ9" i="12"/>
  <c r="AK9" i="12" a="1"/>
  <c r="AK9" i="12" s="1"/>
  <c r="AM9" i="12"/>
  <c r="O10" i="12"/>
  <c r="Q10" i="12"/>
  <c r="AI10" i="12"/>
  <c r="AK10" i="12" s="1" a="1"/>
  <c r="AK10" i="12" s="1"/>
  <c r="AJ10" i="12"/>
  <c r="AM10" i="12"/>
  <c r="O11" i="12"/>
  <c r="Q11" i="12"/>
  <c r="AI11" i="12"/>
  <c r="AJ11" i="12"/>
  <c r="AM11" i="12"/>
  <c r="AK11" i="12" s="1" a="1"/>
  <c r="AK11" i="12" s="1"/>
  <c r="O12" i="12"/>
  <c r="Q12" i="12" s="1"/>
  <c r="AI12" i="12"/>
  <c r="AJ12" i="12"/>
  <c r="AK12" i="12" a="1"/>
  <c r="AK12" i="12" s="1"/>
  <c r="AM12" i="12"/>
  <c r="O13" i="12"/>
  <c r="Q13" i="12" s="1"/>
  <c r="AI13" i="12"/>
  <c r="AJ13" i="12"/>
  <c r="AK13" i="12" a="1"/>
  <c r="AK13" i="12" s="1"/>
  <c r="AM13" i="12"/>
  <c r="O14" i="12"/>
  <c r="Q14" i="12"/>
  <c r="AI14" i="12"/>
  <c r="AJ14" i="12"/>
  <c r="AK14" i="12"/>
  <c r="AM14" i="12"/>
  <c r="AK14" i="12" s="1" a="1"/>
  <c r="O15" i="12"/>
  <c r="Q15" i="12"/>
  <c r="AI15" i="12"/>
  <c r="AJ15" i="12"/>
  <c r="AM15" i="12"/>
  <c r="AK15" i="12" s="1" a="1"/>
  <c r="AK15" i="12" s="1"/>
  <c r="O16" i="12"/>
  <c r="Q16" i="12" s="1"/>
  <c r="AI16" i="12"/>
  <c r="AJ16" i="12"/>
  <c r="AM16" i="12"/>
  <c r="AK16" i="12" s="1" a="1"/>
  <c r="AK16" i="12" s="1"/>
  <c r="O17" i="12"/>
  <c r="Q17" i="12"/>
  <c r="AI17" i="12"/>
  <c r="AJ17" i="12"/>
  <c r="AK17" i="12" a="1"/>
  <c r="AK17" i="12" s="1"/>
  <c r="AM17" i="12"/>
  <c r="O18" i="12"/>
  <c r="Q18" i="12"/>
  <c r="AI18" i="12"/>
  <c r="AK18" i="12" s="1" a="1"/>
  <c r="AK18" i="12" s="1"/>
  <c r="AJ18" i="12"/>
  <c r="AM18" i="12"/>
  <c r="O19" i="12"/>
  <c r="Q19" i="12"/>
  <c r="AI19" i="12"/>
  <c r="AJ19" i="12"/>
  <c r="AM19" i="12"/>
  <c r="O20" i="12"/>
  <c r="Q20" i="12" s="1"/>
  <c r="AI20" i="12"/>
  <c r="AJ20" i="12"/>
  <c r="AK20" i="12" a="1"/>
  <c r="AK20" i="12" s="1"/>
  <c r="AM20" i="12"/>
  <c r="O21" i="12"/>
  <c r="Q21" i="12" s="1"/>
  <c r="AI21" i="12"/>
  <c r="AJ21" i="12"/>
  <c r="AK21" i="12" a="1"/>
  <c r="AK21" i="12" s="1"/>
  <c r="AM21" i="12"/>
  <c r="O22" i="12"/>
  <c r="Q22" i="12"/>
  <c r="AI22" i="12"/>
  <c r="AJ22" i="12"/>
  <c r="AM22" i="12"/>
  <c r="AK22" i="12" s="1" a="1"/>
  <c r="AK22" i="12" s="1"/>
  <c r="O23" i="12"/>
  <c r="Q23" i="12"/>
  <c r="AI23" i="12"/>
  <c r="AJ23" i="12"/>
  <c r="AM23" i="12"/>
  <c r="AK23" i="12" s="1" a="1"/>
  <c r="AK23" i="12" s="1"/>
  <c r="O24" i="12"/>
  <c r="Q24" i="12" s="1"/>
  <c r="AI24" i="12"/>
  <c r="AJ24" i="12"/>
  <c r="AM24" i="12"/>
  <c r="AK24" i="12" s="1" a="1"/>
  <c r="AK24" i="12" s="1"/>
  <c r="C25" i="12"/>
  <c r="D25" i="12"/>
  <c r="E25" i="12"/>
  <c r="F25" i="12"/>
  <c r="G25" i="12"/>
  <c r="H25" i="12"/>
  <c r="I25" i="12"/>
  <c r="J25" i="12"/>
  <c r="K25" i="12"/>
  <c r="L25" i="12"/>
  <c r="M25" i="12"/>
  <c r="N25" i="12"/>
  <c r="P25" i="12"/>
  <c r="AI25" i="12"/>
  <c r="AJ25" i="12"/>
  <c r="AK25" i="12" a="1"/>
  <c r="AK25" i="12" s="1"/>
  <c r="AM25" i="12"/>
  <c r="C26" i="12"/>
  <c r="D26" i="12"/>
  <c r="E26" i="12"/>
  <c r="F26" i="12"/>
  <c r="G26" i="12"/>
  <c r="H26" i="12"/>
  <c r="O26" i="12" s="1"/>
  <c r="Q26" i="12" s="1"/>
  <c r="I26" i="12"/>
  <c r="J26" i="12"/>
  <c r="K26" i="12"/>
  <c r="L26" i="12"/>
  <c r="M26" i="12"/>
  <c r="N26" i="12"/>
  <c r="P26" i="12"/>
  <c r="AI26" i="12"/>
  <c r="AJ26" i="12"/>
  <c r="AM26" i="12"/>
  <c r="AK26" i="12" s="1" a="1"/>
  <c r="AK26" i="12" s="1"/>
  <c r="AI27" i="12"/>
  <c r="AJ27" i="12"/>
  <c r="AM27" i="12"/>
  <c r="AI28" i="12"/>
  <c r="AJ28" i="12"/>
  <c r="AM28" i="12"/>
  <c r="AK28" i="12" s="1" a="1"/>
  <c r="AK28" i="12" s="1"/>
  <c r="AI29" i="12"/>
  <c r="AJ29" i="12"/>
  <c r="AK29" i="12" a="1"/>
  <c r="AK29" i="12" s="1"/>
  <c r="AM29" i="12"/>
  <c r="AI30" i="12"/>
  <c r="AJ30" i="12"/>
  <c r="AK30" i="12" a="1"/>
  <c r="AK30" i="12" s="1"/>
  <c r="AM30" i="12"/>
  <c r="O31" i="12"/>
  <c r="Q31" i="12" s="1"/>
  <c r="AI31" i="12"/>
  <c r="AJ31" i="12"/>
  <c r="AK31" i="12" a="1"/>
  <c r="AK31" i="12" s="1"/>
  <c r="AM31" i="12"/>
  <c r="O32" i="12"/>
  <c r="Q32" i="12"/>
  <c r="AI32" i="12"/>
  <c r="AJ32" i="12"/>
  <c r="AK32" i="12"/>
  <c r="AM32" i="12"/>
  <c r="AK32" i="12" s="1" a="1"/>
  <c r="O33" i="12"/>
  <c r="Q33" i="12"/>
  <c r="AI33" i="12"/>
  <c r="AJ33" i="12"/>
  <c r="AM33" i="12"/>
  <c r="AK33" i="12" s="1" a="1"/>
  <c r="AK33" i="12" s="1"/>
  <c r="O34" i="12"/>
  <c r="AI34" i="12"/>
  <c r="AJ34" i="12"/>
  <c r="AM34" i="12"/>
  <c r="AK34" i="12" s="1" a="1"/>
  <c r="AK34" i="12" s="1"/>
  <c r="O35" i="12"/>
  <c r="Q35" i="12"/>
  <c r="AI35" i="12"/>
  <c r="AJ35" i="12"/>
  <c r="AK35" i="12" a="1"/>
  <c r="AK35" i="12" s="1"/>
  <c r="AM35" i="12"/>
  <c r="C36" i="12"/>
  <c r="D36" i="12"/>
  <c r="E36" i="12"/>
  <c r="F36" i="12"/>
  <c r="G36" i="12"/>
  <c r="H36" i="12"/>
  <c r="I36" i="12"/>
  <c r="J36" i="12"/>
  <c r="K36" i="12"/>
  <c r="L36" i="12"/>
  <c r="M36" i="12"/>
  <c r="N36" i="12"/>
  <c r="P36" i="12"/>
  <c r="AI36" i="12"/>
  <c r="AJ36" i="12"/>
  <c r="AK36" i="12" a="1"/>
  <c r="AK36" i="12" s="1"/>
  <c r="AM36" i="12"/>
  <c r="C37" i="12"/>
  <c r="D37" i="12"/>
  <c r="E37" i="12"/>
  <c r="F37" i="12"/>
  <c r="G37" i="12"/>
  <c r="H37" i="12"/>
  <c r="I37" i="12"/>
  <c r="J37" i="12"/>
  <c r="K37" i="12"/>
  <c r="L37" i="12"/>
  <c r="M37" i="12"/>
  <c r="N37" i="12"/>
  <c r="P37" i="12"/>
  <c r="AI37" i="12"/>
  <c r="AJ37" i="12"/>
  <c r="AK37" i="12" a="1"/>
  <c r="AK37" i="12" s="1"/>
  <c r="AM37" i="12"/>
  <c r="AI38" i="12"/>
  <c r="AJ38" i="12"/>
  <c r="AK38" i="12" a="1"/>
  <c r="AK38" i="12" s="1"/>
  <c r="AM38" i="12"/>
  <c r="AI39" i="12"/>
  <c r="AJ39" i="12"/>
  <c r="AM39" i="12"/>
  <c r="AI40" i="12"/>
  <c r="AK40" i="12" s="1" a="1"/>
  <c r="AJ40" i="12"/>
  <c r="AK40" i="12"/>
  <c r="AM40" i="12"/>
  <c r="AI41" i="12"/>
  <c r="AJ41" i="12"/>
  <c r="AK41" i="12" a="1"/>
  <c r="AK41" i="12"/>
  <c r="AM41" i="12"/>
  <c r="O42" i="12"/>
  <c r="Q42" i="12"/>
  <c r="AI42" i="12"/>
  <c r="AJ42" i="12"/>
  <c r="AK42" i="12"/>
  <c r="AM42" i="12"/>
  <c r="AK42" i="12" s="1" a="1"/>
  <c r="O43" i="12"/>
  <c r="Q43" i="12"/>
  <c r="AI43" i="12"/>
  <c r="AJ43" i="12"/>
  <c r="AM43" i="12"/>
  <c r="AK43" i="12" s="1" a="1"/>
  <c r="AK43" i="12" s="1"/>
  <c r="O44" i="12"/>
  <c r="Q44" i="12" s="1"/>
  <c r="AI44" i="12"/>
  <c r="AJ44" i="12"/>
  <c r="AM44" i="12"/>
  <c r="AK44" i="12" s="1" a="1"/>
  <c r="AK44" i="12" s="1"/>
  <c r="O45" i="12"/>
  <c r="Q45" i="12"/>
  <c r="AI45" i="12"/>
  <c r="AJ45" i="12"/>
  <c r="AK45" i="12" a="1"/>
  <c r="AK45" i="12" s="1"/>
  <c r="AM45" i="12"/>
  <c r="C46" i="12"/>
  <c r="D46" i="12"/>
  <c r="E46" i="12"/>
  <c r="F46" i="12"/>
  <c r="G46" i="12"/>
  <c r="H46" i="12"/>
  <c r="I46" i="12"/>
  <c r="J46" i="12"/>
  <c r="K46" i="12"/>
  <c r="L46" i="12"/>
  <c r="M46" i="12"/>
  <c r="N46" i="12"/>
  <c r="P46" i="12"/>
  <c r="AI46" i="12"/>
  <c r="AJ46" i="12"/>
  <c r="AK46" i="12" a="1"/>
  <c r="AK46" i="12" s="1"/>
  <c r="AM46" i="12"/>
  <c r="C47" i="12"/>
  <c r="D47" i="12"/>
  <c r="E47" i="12"/>
  <c r="F47" i="12"/>
  <c r="G47" i="12"/>
  <c r="H47" i="12"/>
  <c r="I47" i="12"/>
  <c r="J47" i="12"/>
  <c r="K47" i="12"/>
  <c r="L47" i="12"/>
  <c r="M47" i="12"/>
  <c r="N47" i="12"/>
  <c r="P47" i="12"/>
  <c r="AI47" i="12"/>
  <c r="AJ47" i="12"/>
  <c r="AK47" i="12" a="1"/>
  <c r="AK47" i="12" s="1"/>
  <c r="AM47" i="12"/>
  <c r="AI48" i="12"/>
  <c r="AJ48" i="12"/>
  <c r="AK48" i="12" a="1"/>
  <c r="AK48" i="12" s="1"/>
  <c r="AM48" i="12"/>
  <c r="AI49" i="12"/>
  <c r="AJ49" i="12"/>
  <c r="AM49" i="12"/>
  <c r="AK49" i="12" s="1" a="1"/>
  <c r="AK49" i="12" s="1"/>
  <c r="AI50" i="12"/>
  <c r="AK50" i="12" s="1" a="1"/>
  <c r="AJ50" i="12"/>
  <c r="AK50" i="12"/>
  <c r="AM50" i="12"/>
  <c r="AI51" i="12"/>
  <c r="AJ51" i="12"/>
  <c r="AK51" i="12" a="1"/>
  <c r="AK51" i="12"/>
  <c r="AM51" i="12"/>
  <c r="AI52" i="12"/>
  <c r="AJ52" i="12"/>
  <c r="AM52" i="12"/>
  <c r="AK52" i="12" s="1" a="1"/>
  <c r="AK52" i="12" s="1"/>
  <c r="AI53" i="12"/>
  <c r="AJ53" i="12"/>
  <c r="AM53" i="12"/>
  <c r="AI54" i="12"/>
  <c r="AJ54" i="12"/>
  <c r="AM54" i="12"/>
  <c r="AK54" i="12" s="1" a="1"/>
  <c r="AK54" i="12" s="1"/>
  <c r="AI55" i="12"/>
  <c r="AJ55" i="12"/>
  <c r="AK55" i="12" a="1"/>
  <c r="AK55" i="12"/>
  <c r="AM55" i="12"/>
  <c r="AI56" i="12"/>
  <c r="AJ56" i="12"/>
  <c r="AK56" i="12" a="1"/>
  <c r="AK56" i="12" s="1"/>
  <c r="AM56" i="12"/>
  <c r="AI57" i="12"/>
  <c r="AJ57" i="12"/>
  <c r="AM57" i="12"/>
  <c r="AI58" i="12"/>
  <c r="AJ58" i="12"/>
  <c r="AM58" i="12"/>
  <c r="AK58" i="12" s="1" a="1"/>
  <c r="AK58" i="12" s="1"/>
  <c r="AI59" i="12"/>
  <c r="AJ59" i="12"/>
  <c r="AK59" i="12" a="1"/>
  <c r="AK59" i="12"/>
  <c r="AM59" i="12"/>
  <c r="AI60" i="12"/>
  <c r="AJ60" i="12"/>
  <c r="AK60" i="12" a="1"/>
  <c r="AK60" i="12" s="1"/>
  <c r="AM60" i="12"/>
  <c r="AI61" i="12"/>
  <c r="AJ61" i="12"/>
  <c r="AM61" i="12"/>
  <c r="AI62" i="12"/>
  <c r="AJ62" i="12"/>
  <c r="AM62" i="12"/>
  <c r="AK62" i="12" s="1" a="1"/>
  <c r="AK62" i="12" s="1"/>
  <c r="AI63" i="12"/>
  <c r="AJ63" i="12"/>
  <c r="AK63" i="12" a="1"/>
  <c r="AK63" i="12" s="1"/>
  <c r="AM63" i="12"/>
  <c r="AI64" i="12"/>
  <c r="AJ64" i="12"/>
  <c r="AK64" i="12" a="1"/>
  <c r="AK64" i="12" s="1"/>
  <c r="AM64" i="12"/>
  <c r="AI65" i="12"/>
  <c r="AJ65" i="12"/>
  <c r="AM65" i="12"/>
  <c r="AI66" i="12"/>
  <c r="AJ66" i="12"/>
  <c r="AM66" i="12"/>
  <c r="AK66" i="12" s="1" a="1"/>
  <c r="AK66" i="12" s="1"/>
  <c r="AI67" i="12"/>
  <c r="AJ67" i="12"/>
  <c r="AK67" i="12" a="1"/>
  <c r="AK67" i="12" s="1"/>
  <c r="AM67" i="12"/>
  <c r="AI68" i="12"/>
  <c r="AJ68" i="12"/>
  <c r="AK68" i="12" a="1"/>
  <c r="AK68" i="12" s="1"/>
  <c r="AM68" i="12"/>
  <c r="AI69" i="12"/>
  <c r="AJ69" i="12"/>
  <c r="AM69" i="12"/>
  <c r="AI70" i="12"/>
  <c r="AJ70" i="12"/>
  <c r="AM70" i="12"/>
  <c r="AK70" i="12" s="1" a="1"/>
  <c r="AK70" i="12" s="1"/>
  <c r="AI71" i="12"/>
  <c r="AJ71" i="12"/>
  <c r="AK71" i="12" a="1"/>
  <c r="AK71" i="12" s="1"/>
  <c r="AM71" i="12"/>
  <c r="AI72" i="12"/>
  <c r="AJ72" i="12"/>
  <c r="AK72" i="12" a="1"/>
  <c r="AK72" i="12" s="1"/>
  <c r="AM72" i="12"/>
  <c r="AI73" i="12"/>
  <c r="AJ73" i="12"/>
  <c r="AM73" i="12"/>
  <c r="AI74" i="12"/>
  <c r="AJ74" i="12"/>
  <c r="AM74" i="12"/>
  <c r="AK74" i="12" s="1" a="1"/>
  <c r="AK74" i="12" s="1"/>
  <c r="AI75" i="12"/>
  <c r="AJ75" i="12"/>
  <c r="AK75" i="12" a="1"/>
  <c r="AK75" i="12" s="1"/>
  <c r="AM75" i="12"/>
  <c r="AI76" i="12"/>
  <c r="AJ76" i="12"/>
  <c r="AK76" i="12" a="1"/>
  <c r="AK76" i="12" s="1"/>
  <c r="AM76" i="12"/>
  <c r="AI77" i="12"/>
  <c r="AJ77" i="12"/>
  <c r="AM77" i="12"/>
  <c r="AI78" i="12"/>
  <c r="AJ78" i="12"/>
  <c r="AM78" i="12"/>
  <c r="AK78" i="12" s="1" a="1"/>
  <c r="AK78" i="12" s="1"/>
  <c r="AI79" i="12"/>
  <c r="AJ79" i="12"/>
  <c r="AK79" i="12" a="1"/>
  <c r="AK79" i="12" s="1"/>
  <c r="AM79" i="12"/>
  <c r="AI80" i="12"/>
  <c r="AJ80" i="12"/>
  <c r="AK80" i="12" a="1"/>
  <c r="AK80" i="12" s="1"/>
  <c r="AM80" i="12"/>
  <c r="AI81" i="12"/>
  <c r="AJ81" i="12"/>
  <c r="AM81" i="12"/>
  <c r="AI82" i="12"/>
  <c r="AJ82" i="12"/>
  <c r="AM82" i="12"/>
  <c r="AK82" i="12" s="1" a="1"/>
  <c r="AK82" i="12" s="1"/>
  <c r="AI83" i="12"/>
  <c r="AJ83" i="12"/>
  <c r="AK83" i="12" a="1"/>
  <c r="AK83" i="12" s="1"/>
  <c r="AM83" i="12"/>
  <c r="AI84" i="12"/>
  <c r="AJ84" i="12"/>
  <c r="AK84" i="12" a="1"/>
  <c r="AK84" i="12" s="1"/>
  <c r="AM84" i="12"/>
  <c r="AI85" i="12"/>
  <c r="AJ85" i="12"/>
  <c r="AM85" i="12"/>
  <c r="AI86" i="12"/>
  <c r="AJ86" i="12"/>
  <c r="AM86" i="12"/>
  <c r="AK86" i="12" s="1" a="1"/>
  <c r="AK86" i="12" s="1"/>
  <c r="AI87" i="12"/>
  <c r="AJ87" i="12"/>
  <c r="AK87" i="12" a="1"/>
  <c r="AK87" i="12" s="1"/>
  <c r="AM87" i="12"/>
  <c r="AI88" i="12"/>
  <c r="AJ88" i="12"/>
  <c r="AK88" i="12" a="1"/>
  <c r="AK88" i="12" s="1"/>
  <c r="AM88" i="12"/>
  <c r="AI89" i="12"/>
  <c r="AJ89" i="12"/>
  <c r="AM89" i="12"/>
  <c r="AI90" i="12"/>
  <c r="AJ90" i="12"/>
  <c r="AM90" i="12"/>
  <c r="AK90" i="12" s="1" a="1"/>
  <c r="AK90" i="12" s="1"/>
  <c r="AI91" i="12"/>
  <c r="AJ91" i="12"/>
  <c r="AK91" i="12" a="1"/>
  <c r="AK91" i="12" s="1"/>
  <c r="AM91" i="12"/>
  <c r="AI92" i="12"/>
  <c r="AJ92" i="12"/>
  <c r="AK92" i="12" a="1"/>
  <c r="AK92" i="12" s="1"/>
  <c r="AM92" i="12"/>
  <c r="AI93" i="12"/>
  <c r="AJ93" i="12"/>
  <c r="AM93" i="12"/>
  <c r="AI94" i="12"/>
  <c r="AJ94" i="12"/>
  <c r="AM94" i="12"/>
  <c r="AK94" i="12" s="1" a="1"/>
  <c r="AK94" i="12" s="1"/>
  <c r="AI95" i="12"/>
  <c r="AJ95" i="12"/>
  <c r="AK95" i="12" a="1"/>
  <c r="AK95" i="12" s="1"/>
  <c r="AM95" i="12"/>
  <c r="AI96" i="12"/>
  <c r="AJ96" i="12"/>
  <c r="AK96" i="12" a="1"/>
  <c r="AK96" i="12" s="1"/>
  <c r="AM96" i="12"/>
  <c r="AI97" i="12"/>
  <c r="AJ97" i="12"/>
  <c r="AM97" i="12"/>
  <c r="AI98" i="12"/>
  <c r="AJ98" i="12"/>
  <c r="AM98" i="12"/>
  <c r="AK98" i="12" s="1" a="1"/>
  <c r="AK98" i="12" s="1"/>
  <c r="AI99" i="12"/>
  <c r="AJ99" i="12"/>
  <c r="AK99" i="12" a="1"/>
  <c r="AK99" i="12" s="1"/>
  <c r="AM99" i="12"/>
  <c r="AI100" i="12"/>
  <c r="AJ100" i="12"/>
  <c r="AK100" i="12" a="1"/>
  <c r="AK100" i="12" s="1"/>
  <c r="AM100" i="12"/>
  <c r="AI101" i="12"/>
  <c r="AJ101" i="12"/>
  <c r="AM101" i="12"/>
  <c r="AI102" i="12"/>
  <c r="AJ102" i="12"/>
  <c r="AM102" i="12"/>
  <c r="AK102" i="12" s="1" a="1"/>
  <c r="AK102" i="12" s="1"/>
  <c r="AI103" i="12"/>
  <c r="AJ103" i="12"/>
  <c r="AK103" i="12" a="1"/>
  <c r="AK103" i="12" s="1"/>
  <c r="AM103" i="12"/>
  <c r="AI104" i="12"/>
  <c r="AJ104" i="12"/>
  <c r="AK104" i="12" a="1"/>
  <c r="AK104" i="12" s="1"/>
  <c r="AM104" i="12"/>
  <c r="AI105" i="12"/>
  <c r="AJ105" i="12"/>
  <c r="AM105" i="12"/>
  <c r="AI106" i="12"/>
  <c r="AJ106" i="12"/>
  <c r="AM106" i="12"/>
  <c r="AK106" i="12" s="1" a="1"/>
  <c r="AK106" i="12" s="1"/>
  <c r="AI107" i="12"/>
  <c r="AJ107" i="12"/>
  <c r="AK107" i="12" a="1"/>
  <c r="AK107" i="12" s="1"/>
  <c r="AM107" i="12"/>
  <c r="AI108" i="12"/>
  <c r="AJ108" i="12"/>
  <c r="AK108" i="12" a="1"/>
  <c r="AK108" i="12" s="1"/>
  <c r="AM108" i="12"/>
  <c r="AI109" i="12"/>
  <c r="AJ109" i="12"/>
  <c r="AM109" i="12"/>
  <c r="AI110" i="12"/>
  <c r="AJ110" i="12"/>
  <c r="AM110" i="12"/>
  <c r="AK110" i="12" s="1" a="1"/>
  <c r="AK110" i="12" s="1"/>
  <c r="AI111" i="12"/>
  <c r="AJ111" i="12"/>
  <c r="AK111" i="12" a="1"/>
  <c r="AK111" i="12" s="1"/>
  <c r="AM111" i="12"/>
  <c r="AI112" i="12"/>
  <c r="AJ112" i="12"/>
  <c r="AK112" i="12" a="1"/>
  <c r="AK112" i="12" s="1"/>
  <c r="AM112" i="12"/>
  <c r="AI113" i="12"/>
  <c r="AJ113" i="12"/>
  <c r="AM113" i="12"/>
  <c r="AI114" i="12"/>
  <c r="AJ114" i="12"/>
  <c r="AM114" i="12"/>
  <c r="AK114" i="12" s="1" a="1"/>
  <c r="AK114" i="12" s="1"/>
  <c r="AI115" i="12"/>
  <c r="AJ115" i="12"/>
  <c r="AK115" i="12" a="1"/>
  <c r="AK115" i="12" s="1"/>
  <c r="AM115" i="12"/>
  <c r="AI116" i="12"/>
  <c r="AJ116" i="12"/>
  <c r="AK116" i="12" a="1"/>
  <c r="AK116" i="12" s="1"/>
  <c r="AM116" i="12"/>
  <c r="AI117" i="12"/>
  <c r="AJ117" i="12"/>
  <c r="AM117" i="12"/>
  <c r="AI118" i="12"/>
  <c r="AJ118" i="12"/>
  <c r="AM118" i="12"/>
  <c r="AK118" i="12" s="1" a="1"/>
  <c r="AK118" i="12" s="1"/>
  <c r="AI119" i="12"/>
  <c r="AJ119" i="12"/>
  <c r="AK119" i="12" a="1"/>
  <c r="AK119" i="12" s="1"/>
  <c r="AM119" i="12"/>
  <c r="AI120" i="12"/>
  <c r="AJ120" i="12"/>
  <c r="AK120" i="12" a="1"/>
  <c r="AK120" i="12" s="1"/>
  <c r="AM120" i="12"/>
  <c r="AI121" i="12"/>
  <c r="AJ121" i="12"/>
  <c r="AM121" i="12"/>
  <c r="AI122" i="12"/>
  <c r="AJ122" i="12"/>
  <c r="AM122" i="12"/>
  <c r="AK122" i="12" s="1" a="1"/>
  <c r="AK122" i="12" s="1"/>
  <c r="AI123" i="12"/>
  <c r="AJ123" i="12"/>
  <c r="AK123" i="12" a="1"/>
  <c r="AK123" i="12" s="1"/>
  <c r="AM123" i="12"/>
  <c r="AI124" i="12"/>
  <c r="AJ124" i="12"/>
  <c r="AK124" i="12" a="1"/>
  <c r="AK124" i="12" s="1"/>
  <c r="AM124" i="12"/>
  <c r="AI125" i="12"/>
  <c r="AJ125" i="12"/>
  <c r="AM125" i="12"/>
  <c r="AI126" i="12"/>
  <c r="AJ126" i="12"/>
  <c r="AM126" i="12"/>
  <c r="AK126" i="12" s="1" a="1"/>
  <c r="AK126" i="12" s="1"/>
  <c r="AI127" i="12"/>
  <c r="AJ127" i="12"/>
  <c r="AK127" i="12" a="1"/>
  <c r="AK127" i="12" s="1"/>
  <c r="AM127" i="12"/>
  <c r="AI128" i="12"/>
  <c r="AJ128" i="12"/>
  <c r="AK128" i="12" a="1"/>
  <c r="AK128" i="12" s="1"/>
  <c r="AM128" i="12"/>
  <c r="AI129" i="12"/>
  <c r="AJ129" i="12"/>
  <c r="AM129" i="12"/>
  <c r="AI130" i="12"/>
  <c r="AJ130" i="12"/>
  <c r="AM130" i="12"/>
  <c r="AK130" i="12" s="1" a="1"/>
  <c r="AK130" i="12" s="1"/>
  <c r="AI131" i="12"/>
  <c r="AJ131" i="12"/>
  <c r="AK131" i="12" a="1"/>
  <c r="AK131" i="12" s="1"/>
  <c r="AM131" i="12"/>
  <c r="AI132" i="12"/>
  <c r="AJ132" i="12"/>
  <c r="AK132" i="12" a="1"/>
  <c r="AK132" i="12" s="1"/>
  <c r="AM132" i="12"/>
  <c r="AI133" i="12"/>
  <c r="AJ133" i="12"/>
  <c r="AM133" i="12"/>
  <c r="AI134" i="12"/>
  <c r="AJ134" i="12"/>
  <c r="AM134" i="12"/>
  <c r="AK134" i="12" s="1" a="1"/>
  <c r="AK134" i="12" s="1"/>
  <c r="AI135" i="12"/>
  <c r="AJ135" i="12"/>
  <c r="AK135" i="12" a="1"/>
  <c r="AK135" i="12" s="1"/>
  <c r="AM135" i="12"/>
  <c r="AI136" i="12"/>
  <c r="AJ136" i="12"/>
  <c r="AK136" i="12" a="1"/>
  <c r="AK136" i="12" s="1"/>
  <c r="AM136" i="12"/>
  <c r="AI137" i="12"/>
  <c r="AJ137" i="12"/>
  <c r="AM137" i="12"/>
  <c r="AI138" i="12"/>
  <c r="AJ138" i="12"/>
  <c r="AM138" i="12"/>
  <c r="AK138" i="12" s="1" a="1"/>
  <c r="AK138" i="12" s="1"/>
  <c r="AI139" i="12"/>
  <c r="AJ139" i="12"/>
  <c r="AK139" i="12" a="1"/>
  <c r="AK139" i="12" s="1"/>
  <c r="AM139" i="12"/>
  <c r="AI140" i="12"/>
  <c r="AJ140" i="12"/>
  <c r="AK140" i="12" a="1"/>
  <c r="AK140" i="12" s="1"/>
  <c r="AM140" i="12"/>
  <c r="AI141" i="12"/>
  <c r="AJ141" i="12"/>
  <c r="AM141" i="12"/>
  <c r="AI142" i="12"/>
  <c r="AJ142" i="12"/>
  <c r="AM142" i="12"/>
  <c r="AK142" i="12" s="1" a="1"/>
  <c r="AK142" i="12" s="1"/>
  <c r="AI143" i="12"/>
  <c r="AJ143" i="12"/>
  <c r="AK143" i="12" a="1"/>
  <c r="AK143" i="12" s="1"/>
  <c r="AM143" i="12"/>
  <c r="AI144" i="12"/>
  <c r="AJ144" i="12"/>
  <c r="AK144" i="12" a="1"/>
  <c r="AK144" i="12" s="1"/>
  <c r="AM144" i="12"/>
  <c r="AI145" i="12"/>
  <c r="AJ145" i="12"/>
  <c r="AM145" i="12"/>
  <c r="AI146" i="12"/>
  <c r="AJ146" i="12"/>
  <c r="AM146" i="12"/>
  <c r="AK146" i="12" s="1" a="1"/>
  <c r="AK146" i="12" s="1"/>
  <c r="AI147" i="12"/>
  <c r="AJ147" i="12"/>
  <c r="AK147" i="12" a="1"/>
  <c r="AK147" i="12" s="1"/>
  <c r="AM147" i="12"/>
  <c r="AI148" i="12"/>
  <c r="AJ148" i="12"/>
  <c r="AK148" i="12" a="1"/>
  <c r="AK148" i="12" s="1"/>
  <c r="AM148" i="12"/>
  <c r="AI149" i="12"/>
  <c r="AJ149" i="12"/>
  <c r="AM149" i="12"/>
  <c r="AI150" i="12"/>
  <c r="AJ150" i="12"/>
  <c r="AM150" i="12"/>
  <c r="AK150" i="12" s="1" a="1"/>
  <c r="AK150" i="12" s="1"/>
  <c r="AI151" i="12"/>
  <c r="AJ151" i="12"/>
  <c r="AK151" i="12" a="1"/>
  <c r="AK151" i="12" s="1"/>
  <c r="AM151" i="12"/>
  <c r="AI152" i="12"/>
  <c r="AJ152" i="12"/>
  <c r="AK152" i="12" a="1"/>
  <c r="AK152" i="12" s="1"/>
  <c r="AM152" i="12"/>
  <c r="AI153" i="12"/>
  <c r="AJ153" i="12"/>
  <c r="AM153" i="12"/>
  <c r="AI154" i="12"/>
  <c r="AJ154" i="12"/>
  <c r="AM154" i="12"/>
  <c r="AK154" i="12" s="1" a="1"/>
  <c r="AK154" i="12" s="1"/>
  <c r="AI155" i="12"/>
  <c r="AJ155" i="12"/>
  <c r="AK155" i="12" a="1"/>
  <c r="AK155" i="12" s="1"/>
  <c r="AM155" i="12"/>
  <c r="AI156" i="12"/>
  <c r="AJ156" i="12"/>
  <c r="AK156" i="12" a="1"/>
  <c r="AK156" i="12" s="1"/>
  <c r="AM156" i="12"/>
  <c r="AI157" i="12"/>
  <c r="AJ157" i="12"/>
  <c r="AM157" i="12"/>
  <c r="AI158" i="12"/>
  <c r="AJ158" i="12"/>
  <c r="AM158" i="12"/>
  <c r="AK158" i="12" s="1" a="1"/>
  <c r="AK158" i="12" s="1"/>
  <c r="AI159" i="12"/>
  <c r="AJ159" i="12"/>
  <c r="AK159" i="12" a="1"/>
  <c r="AK159" i="12" s="1"/>
  <c r="AM159" i="12"/>
  <c r="AI160" i="12"/>
  <c r="AJ160" i="12"/>
  <c r="AK160" i="12" a="1"/>
  <c r="AK160" i="12" s="1"/>
  <c r="AM160" i="12"/>
  <c r="AI161" i="12"/>
  <c r="AJ161" i="12"/>
  <c r="AM161" i="12"/>
  <c r="AI162" i="12"/>
  <c r="AJ162" i="12"/>
  <c r="AM162" i="12"/>
  <c r="AK162" i="12" s="1" a="1"/>
  <c r="AK162" i="12" s="1"/>
  <c r="AI163" i="12"/>
  <c r="AJ163" i="12"/>
  <c r="AK163" i="12" a="1"/>
  <c r="AK163" i="12" s="1"/>
  <c r="AM163" i="12"/>
  <c r="AI164" i="12"/>
  <c r="AJ164" i="12"/>
  <c r="AK164" i="12" a="1"/>
  <c r="AK164" i="12" s="1"/>
  <c r="AM164" i="12"/>
  <c r="AI165" i="12"/>
  <c r="AJ165" i="12"/>
  <c r="AM165" i="12"/>
  <c r="AI166" i="12"/>
  <c r="AJ166" i="12"/>
  <c r="AM166" i="12"/>
  <c r="AK166" i="12" s="1" a="1"/>
  <c r="AK166" i="12" s="1"/>
  <c r="AI167" i="12"/>
  <c r="AJ167" i="12"/>
  <c r="AK167" i="12" a="1"/>
  <c r="AK167" i="12" s="1"/>
  <c r="AM167" i="12"/>
  <c r="AI168" i="12"/>
  <c r="AJ168" i="12"/>
  <c r="AK168" i="12" a="1"/>
  <c r="AK168" i="12" s="1"/>
  <c r="AM168" i="12"/>
  <c r="AI169" i="12"/>
  <c r="AJ169" i="12"/>
  <c r="AM169" i="12"/>
  <c r="AI170" i="12"/>
  <c r="AJ170" i="12"/>
  <c r="AM170" i="12"/>
  <c r="AK170" i="12" s="1" a="1"/>
  <c r="AK170" i="12" s="1"/>
  <c r="AI171" i="12"/>
  <c r="AJ171" i="12"/>
  <c r="AK171" i="12" a="1"/>
  <c r="AK171" i="12" s="1"/>
  <c r="AM171" i="12"/>
  <c r="AI172" i="12"/>
  <c r="AJ172" i="12"/>
  <c r="AK172" i="12" a="1"/>
  <c r="AK172" i="12" s="1"/>
  <c r="AM172" i="12"/>
  <c r="AI173" i="12"/>
  <c r="AJ173" i="12"/>
  <c r="AM173" i="12"/>
  <c r="AI174" i="12"/>
  <c r="AJ174" i="12"/>
  <c r="AM174" i="12"/>
  <c r="AK174" i="12" s="1" a="1"/>
  <c r="AK174" i="12" s="1"/>
  <c r="AI175" i="12"/>
  <c r="AJ175" i="12"/>
  <c r="AK175" i="12" a="1"/>
  <c r="AK175" i="12" s="1"/>
  <c r="AM175" i="12"/>
  <c r="AI176" i="12"/>
  <c r="AJ176" i="12"/>
  <c r="AK176" i="12" a="1"/>
  <c r="AK176" i="12" s="1"/>
  <c r="AM176" i="12"/>
  <c r="AI177" i="12"/>
  <c r="AJ177" i="12"/>
  <c r="AM177" i="12"/>
  <c r="AI178" i="12"/>
  <c r="AJ178" i="12"/>
  <c r="AM178" i="12"/>
  <c r="AK178" i="12" s="1" a="1"/>
  <c r="AK178" i="12" s="1"/>
  <c r="AI179" i="12"/>
  <c r="AJ179" i="12"/>
  <c r="AK179" i="12" a="1"/>
  <c r="AK179" i="12" s="1"/>
  <c r="AM179" i="12"/>
  <c r="AI180" i="12"/>
  <c r="AJ180" i="12"/>
  <c r="AK180" i="12" a="1"/>
  <c r="AK180" i="12" s="1"/>
  <c r="AM180" i="12"/>
  <c r="AI181" i="12"/>
  <c r="AJ181" i="12"/>
  <c r="AM181" i="12"/>
  <c r="AI182" i="12"/>
  <c r="AJ182" i="12"/>
  <c r="AM182" i="12"/>
  <c r="AK182" i="12" s="1" a="1"/>
  <c r="AK182" i="12" s="1"/>
  <c r="AI183" i="12"/>
  <c r="AJ183" i="12"/>
  <c r="AK183" i="12" a="1"/>
  <c r="AK183" i="12" s="1"/>
  <c r="AM183" i="12"/>
  <c r="AI184" i="12"/>
  <c r="AJ184" i="12"/>
  <c r="AK184" i="12" a="1"/>
  <c r="AK184" i="12" s="1"/>
  <c r="AM184" i="12"/>
  <c r="AI185" i="12"/>
  <c r="AJ185" i="12"/>
  <c r="AM185" i="12"/>
  <c r="AI186" i="12"/>
  <c r="AJ186" i="12"/>
  <c r="AM186" i="12"/>
  <c r="AK186" i="12" s="1" a="1"/>
  <c r="AK186" i="12" s="1"/>
  <c r="AI187" i="12"/>
  <c r="AJ187" i="12"/>
  <c r="AK187" i="12" a="1"/>
  <c r="AK187" i="12" s="1"/>
  <c r="AM187" i="12"/>
  <c r="AI188" i="12"/>
  <c r="AJ188" i="12"/>
  <c r="AK188" i="12" a="1"/>
  <c r="AK188" i="12" s="1"/>
  <c r="AM188" i="12"/>
  <c r="AI189" i="12"/>
  <c r="AJ189" i="12"/>
  <c r="AM189" i="12"/>
  <c r="AI190" i="12"/>
  <c r="AJ190" i="12"/>
  <c r="AM190" i="12"/>
  <c r="AI191" i="12"/>
  <c r="AJ191" i="12"/>
  <c r="AK191" i="12" a="1"/>
  <c r="AK191" i="12" s="1"/>
  <c r="AM191" i="12"/>
  <c r="AI192" i="12"/>
  <c r="AJ192" i="12"/>
  <c r="AK192" i="12" a="1"/>
  <c r="AK192" i="12" s="1"/>
  <c r="AM192" i="12"/>
  <c r="AI193" i="12"/>
  <c r="AJ193" i="12"/>
  <c r="AM193" i="12"/>
  <c r="AI194" i="12"/>
  <c r="AJ194" i="12"/>
  <c r="AM194" i="12"/>
  <c r="AK194" i="12" s="1" a="1"/>
  <c r="AK194" i="12" s="1"/>
  <c r="AI195" i="12"/>
  <c r="AJ195" i="12"/>
  <c r="AK195" i="12" a="1"/>
  <c r="AK195" i="12" s="1"/>
  <c r="AM195" i="12"/>
  <c r="AI196" i="12"/>
  <c r="AJ196" i="12"/>
  <c r="AK196" i="12" a="1"/>
  <c r="AK196" i="12" s="1"/>
  <c r="AM196" i="12"/>
  <c r="AI197" i="12"/>
  <c r="AJ197" i="12"/>
  <c r="AM197" i="12"/>
  <c r="AI198" i="12"/>
  <c r="AJ198" i="12"/>
  <c r="AM198" i="12"/>
  <c r="AK198" i="12" s="1" a="1"/>
  <c r="AK198" i="12" s="1"/>
  <c r="AI199" i="12"/>
  <c r="AJ199" i="12"/>
  <c r="AK199" i="12" a="1"/>
  <c r="AK199" i="12" s="1"/>
  <c r="AM199" i="12"/>
  <c r="AI200" i="12"/>
  <c r="AJ200" i="12"/>
  <c r="AK200" i="12" a="1"/>
  <c r="AK200" i="12" s="1"/>
  <c r="AM200" i="12"/>
  <c r="AI201" i="12"/>
  <c r="AJ201" i="12"/>
  <c r="AM201" i="12"/>
  <c r="AI202" i="12"/>
  <c r="AJ202" i="12"/>
  <c r="AM202" i="12"/>
  <c r="AK202" i="12" s="1" a="1"/>
  <c r="AK202" i="12" s="1"/>
  <c r="AI203" i="12"/>
  <c r="AJ203" i="12"/>
  <c r="AK203" i="12" a="1"/>
  <c r="AK203" i="12" s="1"/>
  <c r="AM203" i="12"/>
  <c r="AI204" i="12"/>
  <c r="AJ204" i="12"/>
  <c r="AK204" i="12" a="1"/>
  <c r="AK204" i="12" s="1"/>
  <c r="AM204" i="12"/>
  <c r="AI205" i="12"/>
  <c r="AJ205" i="12"/>
  <c r="AM205" i="12"/>
  <c r="AI206" i="12"/>
  <c r="AJ206" i="12"/>
  <c r="AM206" i="12"/>
  <c r="AI207" i="12"/>
  <c r="AJ207" i="12"/>
  <c r="AK207" i="12" a="1"/>
  <c r="AK207" i="12" s="1"/>
  <c r="AM207" i="12"/>
  <c r="AI208" i="12"/>
  <c r="AJ208" i="12"/>
  <c r="AK208" i="12" a="1"/>
  <c r="AK208" i="12" s="1"/>
  <c r="AM208" i="12"/>
  <c r="AI209" i="12"/>
  <c r="AJ209" i="12"/>
  <c r="AM209" i="12"/>
  <c r="AI210" i="12"/>
  <c r="AJ210" i="12"/>
  <c r="AM210" i="12"/>
  <c r="AK210" i="12" s="1" a="1"/>
  <c r="AK210" i="12" s="1"/>
  <c r="AI211" i="12"/>
  <c r="AJ211" i="12"/>
  <c r="AK211" i="12" a="1"/>
  <c r="AK211" i="12" s="1"/>
  <c r="AM211" i="12"/>
  <c r="AI212" i="12"/>
  <c r="AJ212" i="12"/>
  <c r="AK212" i="12" a="1"/>
  <c r="AK212" i="12" s="1"/>
  <c r="AM212" i="12"/>
  <c r="AI213" i="12"/>
  <c r="AJ213" i="12"/>
  <c r="AM213" i="12"/>
  <c r="AI214" i="12"/>
  <c r="AJ214" i="12"/>
  <c r="AM214" i="12"/>
  <c r="AK214" i="12" s="1" a="1"/>
  <c r="AK214" i="12" s="1"/>
  <c r="AI215" i="12"/>
  <c r="AJ215" i="12"/>
  <c r="AK215" i="12" a="1"/>
  <c r="AK215" i="12" s="1"/>
  <c r="AM215" i="12"/>
  <c r="AI216" i="12"/>
  <c r="AJ216" i="12"/>
  <c r="AK216" i="12" a="1"/>
  <c r="AK216" i="12" s="1"/>
  <c r="AM216" i="12"/>
  <c r="AI217" i="12"/>
  <c r="AJ217" i="12"/>
  <c r="AM217" i="12"/>
  <c r="AI218" i="12"/>
  <c r="AJ218" i="12"/>
  <c r="AM218" i="12"/>
  <c r="AK218" i="12" s="1" a="1"/>
  <c r="AK218" i="12" s="1"/>
  <c r="AI219" i="12"/>
  <c r="AJ219" i="12"/>
  <c r="AK219" i="12" a="1"/>
  <c r="AK219" i="12" s="1"/>
  <c r="AM219" i="12"/>
  <c r="AI220" i="12"/>
  <c r="AJ220" i="12"/>
  <c r="AK220" i="12" a="1"/>
  <c r="AK220" i="12" s="1"/>
  <c r="AM220" i="12"/>
  <c r="AI221" i="12"/>
  <c r="AJ221" i="12"/>
  <c r="AM221" i="12"/>
  <c r="AK221" i="12" s="1" a="1"/>
  <c r="AK221" i="12" s="1"/>
  <c r="AI222" i="12"/>
  <c r="AJ222" i="12"/>
  <c r="AM222" i="12"/>
  <c r="AI223" i="12"/>
  <c r="AJ223" i="12"/>
  <c r="AK223" i="12" a="1"/>
  <c r="AK223" i="12"/>
  <c r="AM223" i="12"/>
  <c r="AI224" i="12"/>
  <c r="AJ224" i="12"/>
  <c r="AK224" i="12" a="1"/>
  <c r="AK224" i="12" s="1"/>
  <c r="AM224" i="12"/>
  <c r="AI225" i="12"/>
  <c r="AJ225" i="12"/>
  <c r="AM225" i="12"/>
  <c r="AK225" i="12" s="1" a="1"/>
  <c r="AK225" i="12" s="1"/>
  <c r="AI226" i="12"/>
  <c r="AJ226" i="12"/>
  <c r="AM226" i="12"/>
  <c r="AI227" i="12"/>
  <c r="AJ227" i="12"/>
  <c r="AK227" i="12" a="1"/>
  <c r="AK227" i="12"/>
  <c r="AM227" i="12"/>
  <c r="AI228" i="12"/>
  <c r="AJ228" i="12"/>
  <c r="AK228" i="12" a="1"/>
  <c r="AK228" i="12" s="1"/>
  <c r="AM228" i="12"/>
  <c r="AI229" i="12"/>
  <c r="AJ229" i="12"/>
  <c r="AM229" i="12"/>
  <c r="AK229" i="12" s="1" a="1"/>
  <c r="AK229" i="12" s="1"/>
  <c r="AI230" i="12"/>
  <c r="AJ230" i="12"/>
  <c r="AM230" i="12"/>
  <c r="AK230" i="12" s="1" a="1"/>
  <c r="AK230" i="12" s="1"/>
  <c r="AI231" i="12"/>
  <c r="AJ231" i="12"/>
  <c r="AK231" i="12" a="1"/>
  <c r="AK231" i="12" s="1"/>
  <c r="AM231" i="12"/>
  <c r="AI232" i="12"/>
  <c r="AJ232" i="12"/>
  <c r="AK232" i="12" a="1"/>
  <c r="AK232" i="12" s="1"/>
  <c r="AM232" i="12"/>
  <c r="AI233" i="12"/>
  <c r="AJ233" i="12"/>
  <c r="AM233" i="12"/>
  <c r="AK233" i="12" s="1" a="1"/>
  <c r="AK233" i="12" s="1"/>
  <c r="AI234" i="12"/>
  <c r="AJ234" i="12"/>
  <c r="AM234" i="12"/>
  <c r="AK234" i="12" s="1" a="1"/>
  <c r="AK234" i="12" s="1"/>
  <c r="AI235" i="12"/>
  <c r="AJ235" i="12"/>
  <c r="AK235" i="12" a="1"/>
  <c r="AK235" i="12"/>
  <c r="AM235" i="12"/>
  <c r="AI236" i="12"/>
  <c r="AJ236" i="12"/>
  <c r="AK236" i="12" a="1"/>
  <c r="AK236" i="12" s="1"/>
  <c r="AM236" i="12"/>
  <c r="AI237" i="12"/>
  <c r="AJ237" i="12"/>
  <c r="AM237" i="12"/>
  <c r="AK237" i="12" s="1" a="1"/>
  <c r="AK237" i="12" s="1"/>
  <c r="AI238" i="12"/>
  <c r="AJ238" i="12"/>
  <c r="AM238" i="12"/>
  <c r="AK238" i="12" s="1" a="1"/>
  <c r="AK238" i="12" s="1"/>
  <c r="AI239" i="12"/>
  <c r="AJ239" i="12"/>
  <c r="AK239" i="12" a="1"/>
  <c r="AK239" i="12" s="1"/>
  <c r="AM239" i="12"/>
  <c r="AI240" i="12"/>
  <c r="AJ240" i="12"/>
  <c r="AK240" i="12" a="1"/>
  <c r="AK240" i="12" s="1"/>
  <c r="AM240" i="12"/>
  <c r="AI241" i="12"/>
  <c r="AJ241" i="12"/>
  <c r="AM241" i="12"/>
  <c r="AI242" i="12"/>
  <c r="AJ242" i="12"/>
  <c r="AM242" i="12"/>
  <c r="AI243" i="12"/>
  <c r="AJ243" i="12"/>
  <c r="AK243" i="12" a="1"/>
  <c r="AK243" i="12" s="1"/>
  <c r="AM243" i="12"/>
  <c r="AI244" i="12"/>
  <c r="AJ244" i="12"/>
  <c r="AK244" i="12" a="1"/>
  <c r="AK244" i="12" s="1"/>
  <c r="AM244" i="12"/>
  <c r="AI245" i="12"/>
  <c r="AJ245" i="12"/>
  <c r="AM245" i="12"/>
  <c r="AI246" i="12"/>
  <c r="AJ246" i="12"/>
  <c r="AM246" i="12"/>
  <c r="AK246" i="12" s="1" a="1"/>
  <c r="AK246" i="12" s="1"/>
  <c r="AI247" i="12"/>
  <c r="AJ247" i="12"/>
  <c r="AK247" i="12" a="1"/>
  <c r="AK247" i="12"/>
  <c r="AM247" i="12"/>
  <c r="AI248" i="12"/>
  <c r="AJ248" i="12"/>
  <c r="AK248" i="12" a="1"/>
  <c r="AK248" i="12" s="1"/>
  <c r="AM248" i="12"/>
  <c r="AI249" i="12"/>
  <c r="AJ249" i="12"/>
  <c r="AM249" i="12"/>
  <c r="AK249" i="12" s="1" a="1"/>
  <c r="AK249" i="12" s="1"/>
  <c r="AI250" i="12"/>
  <c r="AJ250" i="12"/>
  <c r="AM250" i="12"/>
  <c r="AK250" i="12" s="1" a="1"/>
  <c r="AK250" i="12" s="1"/>
  <c r="AI251" i="12"/>
  <c r="AJ251" i="12"/>
  <c r="AK251" i="12" a="1"/>
  <c r="AK251" i="12" s="1"/>
  <c r="AM251" i="12"/>
  <c r="AI252" i="12"/>
  <c r="AJ252" i="12"/>
  <c r="AK252" i="12" a="1"/>
  <c r="AK252" i="12" s="1"/>
  <c r="AM252" i="12"/>
  <c r="AI253" i="12"/>
  <c r="AJ253" i="12"/>
  <c r="AM253" i="12"/>
  <c r="AK253" i="12" s="1" a="1"/>
  <c r="AK253" i="12" s="1"/>
  <c r="AI254" i="12"/>
  <c r="AJ254" i="12"/>
  <c r="AK254" i="12"/>
  <c r="AM254" i="12"/>
  <c r="AK254" i="12" s="1" a="1"/>
  <c r="AI255" i="12"/>
  <c r="AJ255" i="12"/>
  <c r="AK255" i="12" a="1"/>
  <c r="AK255" i="12"/>
  <c r="AM255" i="12"/>
  <c r="AI256" i="12"/>
  <c r="AJ256" i="12"/>
  <c r="AM256" i="12"/>
  <c r="AK256" i="12" s="1" a="1"/>
  <c r="AK256" i="12" s="1"/>
  <c r="AI257" i="12"/>
  <c r="AJ257" i="12"/>
  <c r="AM257" i="12"/>
  <c r="AK257" i="12" s="1" a="1"/>
  <c r="AK257" i="12" s="1"/>
  <c r="AI258" i="12"/>
  <c r="AJ258" i="12"/>
  <c r="AK258" i="12" a="1"/>
  <c r="AK258" i="12" s="1"/>
  <c r="AM258" i="12"/>
  <c r="AI259" i="12"/>
  <c r="AJ259" i="12"/>
  <c r="AK259" i="12" a="1"/>
  <c r="AK259" i="12" s="1"/>
  <c r="AM259" i="12"/>
  <c r="AI260" i="12"/>
  <c r="AJ260" i="12"/>
  <c r="AK260" i="12" a="1"/>
  <c r="AK260" i="12" s="1"/>
  <c r="AM260" i="12"/>
  <c r="AI261" i="12"/>
  <c r="AJ261" i="12"/>
  <c r="AM261" i="12"/>
  <c r="AI262" i="12"/>
  <c r="AJ262" i="12"/>
  <c r="AK262" i="12"/>
  <c r="AM262" i="12"/>
  <c r="AK262" i="12" s="1" a="1"/>
  <c r="AI263" i="12"/>
  <c r="AJ263" i="12"/>
  <c r="AK263" i="12" a="1"/>
  <c r="AK263" i="12"/>
  <c r="AM263" i="12"/>
  <c r="AI264" i="12"/>
  <c r="AJ264" i="12"/>
  <c r="AM264" i="12"/>
  <c r="AK264" i="12" s="1" a="1"/>
  <c r="AK264" i="12" s="1"/>
  <c r="AI265" i="12"/>
  <c r="AJ265" i="12"/>
  <c r="AM265" i="12"/>
  <c r="AF266" i="12"/>
  <c r="AI266" i="12"/>
  <c r="AJ266" i="12"/>
  <c r="AK266" i="12" a="1"/>
  <c r="AK266" i="12" s="1"/>
  <c r="AM266" i="12"/>
  <c r="AI267" i="12"/>
  <c r="AJ267" i="12"/>
  <c r="AK267" i="12" a="1"/>
  <c r="AK267" i="12" s="1"/>
  <c r="AM267" i="12"/>
  <c r="AI268" i="12"/>
  <c r="AJ268" i="12"/>
  <c r="AM268" i="12"/>
  <c r="AI269" i="12"/>
  <c r="AJ269" i="12"/>
  <c r="AM269" i="12"/>
  <c r="AI270" i="12"/>
  <c r="AJ270" i="12"/>
  <c r="AK270" i="12" a="1"/>
  <c r="AK270" i="12" s="1"/>
  <c r="AM270" i="12"/>
  <c r="AI271" i="12"/>
  <c r="AJ271" i="12"/>
  <c r="AK271" i="12" a="1"/>
  <c r="AK271" i="12" s="1"/>
  <c r="AM271" i="12"/>
  <c r="AI272" i="12"/>
  <c r="AJ272" i="12"/>
  <c r="AM272" i="12"/>
  <c r="AI273" i="12"/>
  <c r="AJ273" i="12"/>
  <c r="AK273" i="12"/>
  <c r="AM273" i="12"/>
  <c r="AK273" i="12" s="1" a="1"/>
  <c r="AI274" i="12"/>
  <c r="AJ274" i="12"/>
  <c r="AK274" i="12" a="1"/>
  <c r="AK274" i="12" s="1"/>
  <c r="AM274" i="12"/>
  <c r="AI275" i="12"/>
  <c r="AJ275" i="12"/>
  <c r="AK275" i="12" a="1"/>
  <c r="AK275" i="12" s="1"/>
  <c r="AM275" i="12"/>
  <c r="AI276" i="12"/>
  <c r="AJ276" i="12"/>
  <c r="AM276" i="12"/>
  <c r="AI277" i="12"/>
  <c r="AJ277" i="12"/>
  <c r="AK277" i="12" a="1"/>
  <c r="AK277" i="12" s="1"/>
  <c r="AM277" i="12"/>
  <c r="AI278" i="12"/>
  <c r="AJ278" i="12"/>
  <c r="AK278" i="12" a="1"/>
  <c r="AK278" i="12"/>
  <c r="AM278" i="12"/>
  <c r="AI279" i="12"/>
  <c r="AK279" i="12" s="1" a="1"/>
  <c r="AK279" i="12" s="1"/>
  <c r="AJ279" i="12"/>
  <c r="AM279" i="12"/>
  <c r="AI280" i="12"/>
  <c r="AJ280" i="12"/>
  <c r="AM280" i="12"/>
  <c r="AK280" i="12" s="1" a="1"/>
  <c r="AK280" i="12" s="1"/>
  <c r="AI281" i="12"/>
  <c r="AJ281" i="12"/>
  <c r="AM281" i="12"/>
  <c r="AI282" i="12"/>
  <c r="AJ282" i="12"/>
  <c r="AK282" i="12" a="1"/>
  <c r="AK282" i="12"/>
  <c r="AM282" i="12"/>
  <c r="AI283" i="12"/>
  <c r="AJ283" i="12"/>
  <c r="AM283" i="12"/>
  <c r="AK283" i="12" s="1" a="1"/>
  <c r="AK283" i="12" s="1"/>
  <c r="AI284" i="12"/>
  <c r="AJ284" i="12"/>
  <c r="AM284" i="12"/>
  <c r="AK284" i="12" s="1" a="1"/>
  <c r="AK284" i="12" s="1"/>
  <c r="AI285" i="12"/>
  <c r="AJ285" i="12"/>
  <c r="AM285" i="12"/>
  <c r="AK285" i="12" s="1" a="1"/>
  <c r="AK285" i="12" s="1"/>
  <c r="AI286" i="12"/>
  <c r="AJ286" i="12"/>
  <c r="AK286" i="12" a="1"/>
  <c r="AK286" i="12" s="1"/>
  <c r="AM286" i="12"/>
  <c r="AI287" i="12"/>
  <c r="AJ287" i="12"/>
  <c r="AK287" i="12" a="1"/>
  <c r="AK287" i="12" s="1"/>
  <c r="AM287" i="12"/>
  <c r="AI288" i="12"/>
  <c r="AJ288" i="12"/>
  <c r="AM288" i="12"/>
  <c r="AK288" i="12" s="1" a="1"/>
  <c r="AK288" i="12" s="1"/>
  <c r="AI289" i="12"/>
  <c r="AJ289" i="12"/>
  <c r="AM289" i="12"/>
  <c r="AI290" i="12"/>
  <c r="AJ290" i="12"/>
  <c r="AK290" i="12" a="1"/>
  <c r="AK290" i="12"/>
  <c r="AM290" i="12"/>
  <c r="AI291" i="12"/>
  <c r="AJ291" i="12"/>
  <c r="AM291" i="12"/>
  <c r="AK291" i="12" s="1" a="1"/>
  <c r="AK291" i="12" s="1"/>
  <c r="AI292" i="12"/>
  <c r="AJ292" i="12"/>
  <c r="AM292" i="12"/>
  <c r="AK292" i="12" s="1" a="1"/>
  <c r="AK292" i="12" s="1"/>
  <c r="AI293" i="12"/>
  <c r="AJ293" i="12"/>
  <c r="AM293" i="12"/>
  <c r="AK293" i="12" s="1" a="1"/>
  <c r="AK293" i="12" s="1"/>
  <c r="AI294" i="12"/>
  <c r="AJ294" i="12"/>
  <c r="AK294" i="12" a="1"/>
  <c r="AK294" i="12" s="1"/>
  <c r="AM294" i="12"/>
  <c r="AI295" i="12"/>
  <c r="AJ295" i="12"/>
  <c r="AK295" i="12" a="1"/>
  <c r="AK295" i="12" s="1"/>
  <c r="AM295" i="12"/>
  <c r="AI296" i="12"/>
  <c r="AJ296" i="12"/>
  <c r="AM296" i="12"/>
  <c r="AK296" i="12" s="1" a="1"/>
  <c r="AK296" i="12" s="1"/>
  <c r="AI297" i="12"/>
  <c r="AJ297" i="12"/>
  <c r="AK297" i="12"/>
  <c r="AM297" i="12"/>
  <c r="AK297" i="12" s="1" a="1"/>
  <c r="AI298" i="12"/>
  <c r="AJ298" i="12"/>
  <c r="AK298" i="12" a="1"/>
  <c r="AK298" i="12"/>
  <c r="AM298" i="12"/>
  <c r="AI299" i="12"/>
  <c r="AJ299" i="12"/>
  <c r="AK299" i="12" a="1"/>
  <c r="AK299" i="12" s="1"/>
  <c r="AM299" i="12"/>
  <c r="AI300" i="12"/>
  <c r="AJ300" i="12"/>
  <c r="AM300" i="12"/>
  <c r="AK300" i="12" s="1" a="1"/>
  <c r="AK300" i="12" s="1"/>
  <c r="AI301" i="12"/>
  <c r="AJ301" i="12"/>
  <c r="AK301" i="12" a="1"/>
  <c r="AK301" i="12" s="1"/>
  <c r="AM301" i="12"/>
  <c r="AI302" i="12"/>
  <c r="AJ302" i="12"/>
  <c r="AK302" i="12" a="1"/>
  <c r="AK302" i="12" s="1"/>
  <c r="AM302" i="12"/>
  <c r="AI303" i="12"/>
  <c r="AK303" i="12" s="1" a="1"/>
  <c r="AK303" i="12" s="1"/>
  <c r="AJ303" i="12"/>
  <c r="AM303" i="12"/>
  <c r="AI304" i="12"/>
  <c r="AJ304" i="12"/>
  <c r="AM304" i="12"/>
  <c r="AI305" i="12"/>
  <c r="AJ305" i="12"/>
  <c r="AM305" i="12"/>
  <c r="AK305" i="12" s="1" a="1"/>
  <c r="AK305" i="12" s="1"/>
  <c r="AI306" i="12"/>
  <c r="AJ306" i="12"/>
  <c r="AK306" i="12" a="1"/>
  <c r="AK306" i="12" s="1"/>
  <c r="AM306" i="12"/>
  <c r="AI307" i="12"/>
  <c r="AJ307" i="12"/>
  <c r="AM307" i="12"/>
  <c r="AK307" i="12" s="1" a="1"/>
  <c r="AK307" i="12" s="1"/>
  <c r="AI308" i="12"/>
  <c r="AJ308" i="12"/>
  <c r="AM308" i="12"/>
  <c r="AI309" i="12"/>
  <c r="AJ309" i="12"/>
  <c r="AM309" i="12"/>
  <c r="AK309" i="12" s="1" a="1"/>
  <c r="AK309" i="12" s="1"/>
  <c r="AI310" i="12"/>
  <c r="AJ310" i="12"/>
  <c r="AK310" i="12" a="1"/>
  <c r="AK310" i="12"/>
  <c r="AM310" i="12"/>
  <c r="AI311" i="12"/>
  <c r="AJ311" i="12"/>
  <c r="AK311" i="12" a="1"/>
  <c r="AK311" i="12" s="1"/>
  <c r="AM311" i="12"/>
  <c r="AI312" i="12"/>
  <c r="AJ312" i="12"/>
  <c r="AM312" i="12"/>
  <c r="AI313" i="12"/>
  <c r="AJ313" i="12"/>
  <c r="AM313" i="12"/>
  <c r="AK313" i="12" s="1" a="1"/>
  <c r="AK313" i="12" s="1"/>
  <c r="AI314" i="12"/>
  <c r="AJ314" i="12"/>
  <c r="AK314" i="12" a="1"/>
  <c r="AK314" i="12" s="1"/>
  <c r="AM314" i="12"/>
  <c r="AI315" i="12"/>
  <c r="AJ315" i="12"/>
  <c r="AK315" i="12" a="1"/>
  <c r="AK315" i="12" s="1"/>
  <c r="AM315" i="12"/>
  <c r="AI316" i="12"/>
  <c r="AJ316" i="12"/>
  <c r="AK316" i="12"/>
  <c r="AM316" i="12"/>
  <c r="AK316" i="12" s="1" a="1"/>
  <c r="AI317" i="12"/>
  <c r="AJ317" i="12"/>
  <c r="AK317" i="12" a="1"/>
  <c r="AK317" i="12" s="1"/>
  <c r="AM317" i="12"/>
  <c r="AI318" i="12"/>
  <c r="AJ318" i="12"/>
  <c r="AK318" i="12" a="1"/>
  <c r="AK318" i="12" s="1"/>
  <c r="AM318" i="12"/>
  <c r="AI319" i="12"/>
  <c r="AK319" i="12" s="1" a="1"/>
  <c r="AK319" i="12" s="1"/>
  <c r="AJ319" i="12"/>
  <c r="AM319" i="12"/>
  <c r="AI320" i="12"/>
  <c r="AJ320" i="12"/>
  <c r="AM320" i="12"/>
  <c r="AK320" i="12" s="1" a="1"/>
  <c r="AK320" i="12" s="1"/>
  <c r="AI321" i="12"/>
  <c r="AJ321" i="12"/>
  <c r="AM321" i="12"/>
  <c r="AK321" i="12" s="1" a="1"/>
  <c r="AK321" i="12" s="1"/>
  <c r="AI322" i="12"/>
  <c r="AJ322" i="12"/>
  <c r="AK322" i="12" a="1"/>
  <c r="AK322" i="12" s="1"/>
  <c r="AM322" i="12"/>
  <c r="AI323" i="12"/>
  <c r="AJ323" i="12"/>
  <c r="AK323" i="12" a="1"/>
  <c r="AK323" i="12" s="1"/>
  <c r="AM323" i="12"/>
  <c r="AI324" i="12"/>
  <c r="AJ324" i="12"/>
  <c r="AM324" i="12"/>
  <c r="AI325" i="12"/>
  <c r="AJ325" i="12"/>
  <c r="AM325" i="12"/>
  <c r="AK325" i="12" s="1" a="1"/>
  <c r="AK325" i="12" s="1"/>
  <c r="AF326" i="12"/>
  <c r="AI326" i="12"/>
  <c r="AJ326" i="12"/>
  <c r="AM326" i="12"/>
  <c r="AK326" i="12" s="1" a="1"/>
  <c r="AK326" i="12" s="1"/>
  <c r="AI327" i="12"/>
  <c r="AJ327" i="12"/>
  <c r="AM327" i="12"/>
  <c r="AK327" i="12" s="1" a="1"/>
  <c r="AK327" i="12" s="1"/>
  <c r="AI328" i="12"/>
  <c r="AJ328" i="12"/>
  <c r="AK328" i="12" a="1"/>
  <c r="AK328" i="12" s="1"/>
  <c r="AM328" i="12"/>
  <c r="AI329" i="12"/>
  <c r="AJ329" i="12"/>
  <c r="AK329" i="12" a="1"/>
  <c r="AK329" i="12" s="1"/>
  <c r="AM329" i="12"/>
  <c r="AI330" i="12"/>
  <c r="AJ330" i="12"/>
  <c r="AM330" i="12"/>
  <c r="AK330" i="12" s="1" a="1"/>
  <c r="AK330" i="12" s="1"/>
  <c r="AI331" i="12"/>
  <c r="AJ331" i="12"/>
  <c r="AM331" i="12"/>
  <c r="AK331" i="12" s="1" a="1"/>
  <c r="AK331" i="12" s="1"/>
  <c r="AI332" i="12"/>
  <c r="AJ332" i="12"/>
  <c r="AK332" i="12" a="1"/>
  <c r="AK332" i="12"/>
  <c r="AM332" i="12"/>
  <c r="AI333" i="12"/>
  <c r="AJ333" i="12"/>
  <c r="AM333" i="12"/>
  <c r="AK333" i="12" s="1" a="1"/>
  <c r="AK333" i="12" s="1"/>
  <c r="AI334" i="12"/>
  <c r="AJ334" i="12"/>
  <c r="AM334" i="12"/>
  <c r="AK334" i="12" s="1" a="1"/>
  <c r="AK334" i="12" s="1"/>
  <c r="AI335" i="12"/>
  <c r="AJ335" i="12"/>
  <c r="AM335" i="12"/>
  <c r="AK335" i="12" s="1" a="1"/>
  <c r="AK335" i="12" s="1"/>
  <c r="AI336" i="12"/>
  <c r="AJ336" i="12"/>
  <c r="AK336" i="12" a="1"/>
  <c r="AK336" i="12" s="1"/>
  <c r="AM336" i="12"/>
  <c r="AI337" i="12"/>
  <c r="AJ337" i="12"/>
  <c r="AK337" i="12" a="1"/>
  <c r="AK337" i="12" s="1"/>
  <c r="AM337" i="12"/>
  <c r="AI338" i="12"/>
  <c r="AJ338" i="12"/>
  <c r="AM338" i="12"/>
  <c r="AK338" i="12" s="1" a="1"/>
  <c r="AK338" i="12" s="1"/>
  <c r="AI339" i="12"/>
  <c r="AJ339" i="12"/>
  <c r="AM339" i="12"/>
  <c r="AK339" i="12" s="1" a="1"/>
  <c r="AK339" i="12" s="1"/>
  <c r="AI340" i="12"/>
  <c r="AJ340" i="12"/>
  <c r="AK340" i="12" a="1"/>
  <c r="AK340" i="12"/>
  <c r="AM340" i="12"/>
  <c r="AI341" i="12"/>
  <c r="AJ341" i="12"/>
  <c r="AM341" i="12"/>
  <c r="AK341" i="12" s="1" a="1"/>
  <c r="AK341" i="12" s="1"/>
  <c r="AI342" i="12"/>
  <c r="AJ342" i="12"/>
  <c r="AM342" i="12"/>
  <c r="AK342" i="12" s="1" a="1"/>
  <c r="AK342" i="12" s="1"/>
  <c r="AI343" i="12"/>
  <c r="AJ343" i="12"/>
  <c r="AM343" i="12"/>
  <c r="AK343" i="12" s="1" a="1"/>
  <c r="AK343" i="12" s="1"/>
  <c r="AI344" i="12"/>
  <c r="AJ344" i="12"/>
  <c r="AK344" i="12" a="1"/>
  <c r="AK344" i="12" s="1"/>
  <c r="AM344" i="12"/>
  <c r="AI345" i="12"/>
  <c r="AJ345" i="12"/>
  <c r="AK345" i="12" a="1"/>
  <c r="AK345" i="12" s="1"/>
  <c r="AM345" i="12"/>
  <c r="AI346" i="12"/>
  <c r="AJ346" i="12"/>
  <c r="AM346" i="12"/>
  <c r="AK346" i="12" s="1" a="1"/>
  <c r="AK346" i="12" s="1"/>
  <c r="AI347" i="12"/>
  <c r="AJ347" i="12"/>
  <c r="AM347" i="12"/>
  <c r="AK347" i="12" s="1" a="1"/>
  <c r="AK347" i="12" s="1"/>
  <c r="AI348" i="12"/>
  <c r="AJ348" i="12"/>
  <c r="AK348" i="12" a="1"/>
  <c r="AK348" i="12"/>
  <c r="AM348" i="12"/>
  <c r="AI349" i="12"/>
  <c r="AJ349" i="12"/>
  <c r="AM349" i="12"/>
  <c r="AK349" i="12" s="1" a="1"/>
  <c r="AK349" i="12" s="1"/>
  <c r="AI350" i="12"/>
  <c r="AJ350" i="12"/>
  <c r="AM350" i="12"/>
  <c r="AK350" i="12" s="1" a="1"/>
  <c r="AK350" i="12" s="1"/>
  <c r="AI351" i="12"/>
  <c r="AJ351" i="12"/>
  <c r="AM351" i="12"/>
  <c r="AK351" i="12" s="1" a="1"/>
  <c r="AK351" i="12" s="1"/>
  <c r="AI352" i="12"/>
  <c r="AJ352" i="12"/>
  <c r="AK352" i="12" a="1"/>
  <c r="AK352" i="12" s="1"/>
  <c r="AM352" i="12"/>
  <c r="AI353" i="12"/>
  <c r="AJ353" i="12"/>
  <c r="AK353" i="12" a="1"/>
  <c r="AK353" i="12" s="1"/>
  <c r="AM353" i="12"/>
  <c r="AI354" i="12"/>
  <c r="AJ354" i="12"/>
  <c r="AM354" i="12"/>
  <c r="AK354" i="12" s="1" a="1"/>
  <c r="AK354" i="12" s="1"/>
  <c r="AI355" i="12"/>
  <c r="AJ355" i="12"/>
  <c r="AM355" i="12"/>
  <c r="AK355" i="12" s="1" a="1"/>
  <c r="AK355" i="12" s="1"/>
  <c r="AI356" i="12"/>
  <c r="AJ356" i="12"/>
  <c r="AK356" i="12" a="1"/>
  <c r="AK356" i="12"/>
  <c r="AM356" i="12"/>
  <c r="AI357" i="12"/>
  <c r="AJ357" i="12"/>
  <c r="AM357" i="12"/>
  <c r="AK357" i="12" s="1" a="1"/>
  <c r="AK357" i="12" s="1"/>
  <c r="AI358" i="12"/>
  <c r="AJ358" i="12"/>
  <c r="AM358" i="12"/>
  <c r="AK358" i="12" s="1" a="1"/>
  <c r="AK358" i="12" s="1"/>
  <c r="AI359" i="12"/>
  <c r="AJ359" i="12"/>
  <c r="AM359" i="12"/>
  <c r="AK359" i="12" s="1" a="1"/>
  <c r="AK359" i="12" s="1"/>
  <c r="AI360" i="12"/>
  <c r="AJ360" i="12"/>
  <c r="AK360" i="12" a="1"/>
  <c r="AK360" i="12" s="1"/>
  <c r="AM360" i="12"/>
  <c r="AI361" i="12"/>
  <c r="AJ361" i="12"/>
  <c r="AK361" i="12" a="1"/>
  <c r="AK361" i="12" s="1"/>
  <c r="AM361" i="12"/>
  <c r="AI362" i="12"/>
  <c r="AJ362" i="12"/>
  <c r="AM362" i="12"/>
  <c r="AK362" i="12" s="1" a="1"/>
  <c r="AK362" i="12" s="1"/>
  <c r="AI363" i="12"/>
  <c r="AJ363" i="12"/>
  <c r="AM363" i="12"/>
  <c r="AK363" i="12" s="1" a="1"/>
  <c r="AK363" i="12" s="1"/>
  <c r="AI364" i="12"/>
  <c r="AJ364" i="12"/>
  <c r="AK364" i="12" a="1"/>
  <c r="AK364" i="12"/>
  <c r="AM364" i="12"/>
  <c r="AI365" i="12"/>
  <c r="AJ365" i="12"/>
  <c r="AM365" i="12"/>
  <c r="AK365" i="12" s="1" a="1"/>
  <c r="AK365" i="12" s="1"/>
  <c r="AI366" i="12"/>
  <c r="AJ366" i="12"/>
  <c r="AM366" i="12"/>
  <c r="AK366" i="12" s="1" a="1"/>
  <c r="AK366" i="12" s="1"/>
  <c r="AI367" i="12"/>
  <c r="AJ367" i="12"/>
  <c r="AM367" i="12"/>
  <c r="AK367" i="12" s="1" a="1"/>
  <c r="AK367" i="12" s="1"/>
  <c r="AI368" i="12"/>
  <c r="AJ368" i="12"/>
  <c r="AK368" i="12" a="1"/>
  <c r="AK368" i="12" s="1"/>
  <c r="AM368" i="12"/>
  <c r="AI369" i="12"/>
  <c r="AJ369" i="12"/>
  <c r="AK369" i="12" a="1"/>
  <c r="AK369" i="12" s="1"/>
  <c r="AM369" i="12"/>
  <c r="AI370" i="12"/>
  <c r="AJ370" i="12"/>
  <c r="AM370" i="12"/>
  <c r="AK370" i="12" s="1" a="1"/>
  <c r="AK370" i="12" s="1"/>
  <c r="AI371" i="12"/>
  <c r="AJ371" i="12"/>
  <c r="AM371" i="12"/>
  <c r="AK371" i="12" s="1" a="1"/>
  <c r="AK371" i="12" s="1"/>
  <c r="AI372" i="12"/>
  <c r="AJ372" i="12"/>
  <c r="AK372" i="12" a="1"/>
  <c r="AK372" i="12"/>
  <c r="AM372" i="12"/>
  <c r="AI373" i="12"/>
  <c r="AJ373" i="12"/>
  <c r="AM373" i="12"/>
  <c r="AK373" i="12" s="1" a="1"/>
  <c r="AK373" i="12" s="1"/>
  <c r="G3" i="10"/>
  <c r="H3" i="10" s="1"/>
  <c r="M3" i="10"/>
  <c r="G4" i="10"/>
  <c r="I4" i="10" s="1"/>
  <c r="H4" i="10"/>
  <c r="M4" i="10"/>
  <c r="G5" i="10"/>
  <c r="M5" i="10"/>
  <c r="G6" i="10"/>
  <c r="I6" i="10" s="1"/>
  <c r="H6" i="10"/>
  <c r="M6" i="10"/>
  <c r="G7" i="10"/>
  <c r="M7" i="10"/>
  <c r="G8" i="10"/>
  <c r="I8" i="10" s="1"/>
  <c r="H8" i="10"/>
  <c r="M8" i="10"/>
  <c r="G9" i="10"/>
  <c r="M9" i="10"/>
  <c r="G10" i="10"/>
  <c r="I10" i="10" s="1"/>
  <c r="H10" i="10"/>
  <c r="M10" i="10"/>
  <c r="G11" i="10"/>
  <c r="M11" i="10"/>
  <c r="G12" i="10"/>
  <c r="I12" i="10" s="1"/>
  <c r="H12" i="10"/>
  <c r="M12" i="10"/>
  <c r="G13" i="10"/>
  <c r="M13" i="10"/>
  <c r="G14" i="10"/>
  <c r="I14" i="10" s="1"/>
  <c r="H14" i="10"/>
  <c r="M14" i="10"/>
  <c r="G15" i="10"/>
  <c r="M15" i="10"/>
  <c r="G16" i="10"/>
  <c r="I16" i="10" s="1"/>
  <c r="H16" i="10"/>
  <c r="M16" i="10"/>
  <c r="G17" i="10"/>
  <c r="M17" i="10"/>
  <c r="G18" i="10"/>
  <c r="I18" i="10" s="1"/>
  <c r="H18" i="10"/>
  <c r="M18" i="10"/>
  <c r="G19" i="10"/>
  <c r="M19" i="10"/>
  <c r="G20" i="10"/>
  <c r="I20" i="10" s="1"/>
  <c r="H20" i="10"/>
  <c r="M20" i="10"/>
  <c r="G21" i="10"/>
  <c r="M21" i="10"/>
  <c r="G22" i="10"/>
  <c r="I22" i="10" s="1"/>
  <c r="H22" i="10"/>
  <c r="M22" i="10"/>
  <c r="G23" i="10"/>
  <c r="M23" i="10"/>
  <c r="G24" i="10"/>
  <c r="I24" i="10" s="1"/>
  <c r="H24" i="10"/>
  <c r="M24" i="10"/>
  <c r="G25" i="10"/>
  <c r="M25" i="10"/>
  <c r="G26" i="10"/>
  <c r="I26" i="10" s="1"/>
  <c r="H26" i="10"/>
  <c r="M26" i="10"/>
  <c r="G27" i="10"/>
  <c r="M27" i="10"/>
  <c r="G28" i="10"/>
  <c r="I28" i="10" s="1"/>
  <c r="H28" i="10"/>
  <c r="M28" i="10"/>
  <c r="G29" i="10"/>
  <c r="M29" i="10"/>
  <c r="G30" i="10"/>
  <c r="I30" i="10" s="1"/>
  <c r="H30" i="10"/>
  <c r="M30" i="10"/>
  <c r="G31" i="10"/>
  <c r="M31" i="10"/>
  <c r="G32" i="10"/>
  <c r="I32" i="10" s="1"/>
  <c r="H32" i="10"/>
  <c r="M32" i="10"/>
  <c r="G33" i="10"/>
  <c r="M33" i="10"/>
  <c r="G34" i="10"/>
  <c r="I34" i="10" s="1"/>
  <c r="H34" i="10"/>
  <c r="M34" i="10"/>
  <c r="G35" i="10"/>
  <c r="M35" i="10"/>
  <c r="G36" i="10"/>
  <c r="I36" i="10" s="1"/>
  <c r="H36" i="10"/>
  <c r="M36" i="10"/>
  <c r="G37" i="10"/>
  <c r="M37" i="10"/>
  <c r="G38" i="10"/>
  <c r="I38" i="10" s="1"/>
  <c r="H38" i="10"/>
  <c r="M38" i="10"/>
  <c r="G39" i="10"/>
  <c r="M39" i="10"/>
  <c r="G40" i="10"/>
  <c r="I40" i="10" s="1"/>
  <c r="H40" i="10"/>
  <c r="M40" i="10"/>
  <c r="G41" i="10"/>
  <c r="M41" i="10"/>
  <c r="G42" i="10"/>
  <c r="I42" i="10" s="1"/>
  <c r="H42" i="10"/>
  <c r="M42" i="10"/>
  <c r="G43" i="10"/>
  <c r="M43" i="10"/>
  <c r="G44" i="10"/>
  <c r="I44" i="10" s="1"/>
  <c r="H44" i="10"/>
  <c r="M44" i="10"/>
  <c r="G45" i="10"/>
  <c r="M45" i="10"/>
  <c r="G46" i="10"/>
  <c r="I46" i="10" s="1"/>
  <c r="H46" i="10"/>
  <c r="M46" i="10"/>
  <c r="G47" i="10"/>
  <c r="M47" i="10"/>
  <c r="G48" i="10"/>
  <c r="I48" i="10" s="1"/>
  <c r="H48" i="10"/>
  <c r="M48" i="10"/>
  <c r="G49" i="10"/>
  <c r="M49" i="10"/>
  <c r="G50" i="10"/>
  <c r="I50" i="10" s="1"/>
  <c r="H50" i="10"/>
  <c r="M50" i="10"/>
  <c r="G51" i="10"/>
  <c r="M51" i="10"/>
  <c r="G52" i="10"/>
  <c r="I52" i="10" s="1"/>
  <c r="H52" i="10"/>
  <c r="M52" i="10"/>
  <c r="G53" i="10"/>
  <c r="M53" i="10"/>
  <c r="G54" i="10"/>
  <c r="I54" i="10" s="1"/>
  <c r="H54" i="10"/>
  <c r="M54" i="10"/>
  <c r="G55" i="10"/>
  <c r="M55" i="10"/>
  <c r="G56" i="10"/>
  <c r="I56" i="10" s="1"/>
  <c r="H56" i="10"/>
  <c r="M56" i="10"/>
  <c r="G57" i="10"/>
  <c r="M57" i="10"/>
  <c r="G58" i="10"/>
  <c r="I58" i="10" s="1"/>
  <c r="H58" i="10"/>
  <c r="M58" i="10"/>
  <c r="G59" i="10"/>
  <c r="M59" i="10"/>
  <c r="G60" i="10"/>
  <c r="I60" i="10" s="1"/>
  <c r="H60" i="10"/>
  <c r="M60" i="10"/>
  <c r="G61" i="10"/>
  <c r="M61" i="10"/>
  <c r="G62" i="10"/>
  <c r="I62" i="10" s="1"/>
  <c r="H62" i="10"/>
  <c r="M62" i="10"/>
  <c r="G63" i="10"/>
  <c r="M63" i="10"/>
  <c r="G64" i="10"/>
  <c r="I64" i="10" s="1"/>
  <c r="H64" i="10"/>
  <c r="M64" i="10"/>
  <c r="G65" i="10"/>
  <c r="M65" i="10"/>
  <c r="G66" i="10"/>
  <c r="I66" i="10" s="1"/>
  <c r="H66" i="10"/>
  <c r="M66" i="10"/>
  <c r="G67" i="10"/>
  <c r="M67" i="10"/>
  <c r="G68" i="10"/>
  <c r="I68" i="10" s="1"/>
  <c r="H68" i="10"/>
  <c r="M68" i="10"/>
  <c r="G69" i="10"/>
  <c r="M69" i="10"/>
  <c r="G70" i="10"/>
  <c r="I70" i="10" s="1"/>
  <c r="H70" i="10"/>
  <c r="M70" i="10"/>
  <c r="G71" i="10"/>
  <c r="M71" i="10"/>
  <c r="G72" i="10"/>
  <c r="I72" i="10" s="1"/>
  <c r="H72" i="10"/>
  <c r="M72" i="10"/>
  <c r="G73" i="10"/>
  <c r="M73" i="10"/>
  <c r="G74" i="10"/>
  <c r="I74" i="10" s="1"/>
  <c r="H74" i="10"/>
  <c r="M74" i="10"/>
  <c r="G75" i="10"/>
  <c r="M75" i="10"/>
  <c r="G76" i="10"/>
  <c r="I76" i="10" s="1"/>
  <c r="H76" i="10"/>
  <c r="M76" i="10"/>
  <c r="G77" i="10"/>
  <c r="M77" i="10"/>
  <c r="G78" i="10"/>
  <c r="I78" i="10" s="1"/>
  <c r="H78" i="10"/>
  <c r="M78" i="10"/>
  <c r="G79" i="10"/>
  <c r="M79" i="10"/>
  <c r="G80" i="10"/>
  <c r="I80" i="10" s="1"/>
  <c r="H80" i="10"/>
  <c r="M80" i="10"/>
  <c r="G81" i="10"/>
  <c r="M81" i="10"/>
  <c r="G82" i="10"/>
  <c r="I82" i="10" s="1"/>
  <c r="H82" i="10"/>
  <c r="M82" i="10"/>
  <c r="G83" i="10"/>
  <c r="M83" i="10"/>
  <c r="G84" i="10"/>
  <c r="I84" i="10" s="1"/>
  <c r="H84" i="10"/>
  <c r="M84" i="10"/>
  <c r="G85" i="10"/>
  <c r="M85" i="10"/>
  <c r="G86" i="10"/>
  <c r="I86" i="10" s="1"/>
  <c r="H86" i="10"/>
  <c r="M86" i="10"/>
  <c r="G87" i="10"/>
  <c r="M87" i="10"/>
  <c r="G88" i="10"/>
  <c r="I88" i="10" s="1"/>
  <c r="H88" i="10"/>
  <c r="M88" i="10"/>
  <c r="G89" i="10"/>
  <c r="M89" i="10"/>
  <c r="G90" i="10"/>
  <c r="I90" i="10" s="1"/>
  <c r="H90" i="10"/>
  <c r="M90" i="10"/>
  <c r="G91" i="10"/>
  <c r="M91" i="10"/>
  <c r="G92" i="10"/>
  <c r="I92" i="10" s="1"/>
  <c r="H92" i="10"/>
  <c r="M92" i="10"/>
  <c r="G93" i="10"/>
  <c r="M93" i="10"/>
  <c r="G94" i="10"/>
  <c r="I94" i="10" s="1"/>
  <c r="H94" i="10"/>
  <c r="M94" i="10"/>
  <c r="G95" i="10"/>
  <c r="M95" i="10"/>
  <c r="G96" i="10"/>
  <c r="I96" i="10" s="1"/>
  <c r="H96" i="10"/>
  <c r="M96" i="10"/>
  <c r="G97" i="10"/>
  <c r="M97" i="10"/>
  <c r="G98" i="10"/>
  <c r="I98" i="10" s="1"/>
  <c r="H98" i="10"/>
  <c r="M98" i="10"/>
  <c r="G99" i="10"/>
  <c r="M99" i="10"/>
  <c r="G100" i="10"/>
  <c r="I100" i="10" s="1"/>
  <c r="H100" i="10"/>
  <c r="M100" i="10"/>
  <c r="G101" i="10"/>
  <c r="M101" i="10"/>
  <c r="G102" i="10"/>
  <c r="I102" i="10" s="1"/>
  <c r="H102" i="10"/>
  <c r="M102" i="10"/>
  <c r="G103" i="10"/>
  <c r="M103" i="10"/>
  <c r="G104" i="10"/>
  <c r="I104" i="10" s="1"/>
  <c r="H104" i="10"/>
  <c r="M104" i="10"/>
  <c r="G105" i="10"/>
  <c r="M105" i="10"/>
  <c r="G106" i="10"/>
  <c r="I106" i="10" s="1"/>
  <c r="H106" i="10"/>
  <c r="M106" i="10"/>
  <c r="G107" i="10"/>
  <c r="M107" i="10"/>
  <c r="G108" i="10"/>
  <c r="I108" i="10" s="1"/>
  <c r="H108" i="10"/>
  <c r="M108" i="10"/>
  <c r="G109" i="10"/>
  <c r="H109" i="10" s="1"/>
  <c r="M109" i="10"/>
  <c r="G110" i="10"/>
  <c r="I110" i="10" s="1"/>
  <c r="H110" i="10"/>
  <c r="M110" i="10"/>
  <c r="G111" i="10"/>
  <c r="M111" i="10"/>
  <c r="G112" i="10"/>
  <c r="I112" i="10" s="1"/>
  <c r="H112" i="10"/>
  <c r="M112" i="10"/>
  <c r="G113" i="10"/>
  <c r="H113" i="10" s="1"/>
  <c r="M113" i="10"/>
  <c r="G114" i="10"/>
  <c r="I114" i="10" s="1"/>
  <c r="H114" i="10"/>
  <c r="M114" i="10"/>
  <c r="G115" i="10"/>
  <c r="H115" i="10" s="1"/>
  <c r="M115" i="10"/>
  <c r="G116" i="10"/>
  <c r="I116" i="10" s="1"/>
  <c r="H116" i="10"/>
  <c r="M116" i="10"/>
  <c r="G117" i="10"/>
  <c r="H117" i="10" s="1"/>
  <c r="M117" i="10"/>
  <c r="G118" i="10"/>
  <c r="I118" i="10" s="1"/>
  <c r="H118" i="10"/>
  <c r="M118" i="10"/>
  <c r="G119" i="10"/>
  <c r="M119" i="10"/>
  <c r="G120" i="10"/>
  <c r="I120" i="10" s="1"/>
  <c r="H120" i="10"/>
  <c r="M120" i="10"/>
  <c r="G121" i="10"/>
  <c r="H121" i="10" s="1"/>
  <c r="M121" i="10"/>
  <c r="G122" i="10"/>
  <c r="I122" i="10" s="1"/>
  <c r="H122" i="10"/>
  <c r="M122" i="10"/>
  <c r="G123" i="10"/>
  <c r="H123" i="10" s="1"/>
  <c r="M123" i="10"/>
  <c r="G124" i="10"/>
  <c r="I124" i="10" s="1"/>
  <c r="H124" i="10"/>
  <c r="M124" i="10"/>
  <c r="G125" i="10"/>
  <c r="H125" i="10" s="1"/>
  <c r="M125" i="10"/>
  <c r="G126" i="10"/>
  <c r="I126" i="10" s="1"/>
  <c r="H126" i="10"/>
  <c r="M126" i="10"/>
  <c r="G127" i="10"/>
  <c r="M127" i="10"/>
  <c r="G128" i="10"/>
  <c r="I128" i="10" s="1"/>
  <c r="H128" i="10"/>
  <c r="M128" i="10"/>
  <c r="G129" i="10"/>
  <c r="H129" i="10" s="1"/>
  <c r="M129" i="10"/>
  <c r="G130" i="10"/>
  <c r="I130" i="10" s="1"/>
  <c r="H130" i="10"/>
  <c r="M130" i="10"/>
  <c r="G131" i="10"/>
  <c r="H131" i="10" s="1"/>
  <c r="M131" i="10"/>
  <c r="G132" i="10"/>
  <c r="I132" i="10" s="1"/>
  <c r="H132" i="10"/>
  <c r="M132" i="10"/>
  <c r="G133" i="10"/>
  <c r="H133" i="10" s="1"/>
  <c r="M133" i="10"/>
  <c r="G134" i="10"/>
  <c r="I134" i="10" s="1"/>
  <c r="H134" i="10"/>
  <c r="M134" i="10"/>
  <c r="G135" i="10"/>
  <c r="M135" i="10"/>
  <c r="G136" i="10"/>
  <c r="I136" i="10" s="1"/>
  <c r="H136" i="10"/>
  <c r="M136" i="10"/>
  <c r="G137" i="10"/>
  <c r="H137" i="10" s="1"/>
  <c r="M137" i="10"/>
  <c r="G138" i="10"/>
  <c r="I138" i="10" s="1"/>
  <c r="H138" i="10"/>
  <c r="M138" i="10"/>
  <c r="G139" i="10"/>
  <c r="H139" i="10" s="1"/>
  <c r="M139" i="10"/>
  <c r="G140" i="10"/>
  <c r="I140" i="10" s="1"/>
  <c r="H140" i="10"/>
  <c r="M140" i="10"/>
  <c r="G141" i="10"/>
  <c r="H141" i="10" s="1"/>
  <c r="M141" i="10"/>
  <c r="G142" i="10"/>
  <c r="I142" i="10" s="1"/>
  <c r="H142" i="10"/>
  <c r="M142" i="10"/>
  <c r="G143" i="10"/>
  <c r="M143" i="10"/>
  <c r="G144" i="10"/>
  <c r="I144" i="10" s="1"/>
  <c r="H144" i="10"/>
  <c r="M144" i="10"/>
  <c r="G145" i="10"/>
  <c r="H145" i="10" s="1"/>
  <c r="M145" i="10"/>
  <c r="G146" i="10"/>
  <c r="I146" i="10" s="1"/>
  <c r="H146" i="10"/>
  <c r="M146" i="10"/>
  <c r="G147" i="10"/>
  <c r="H147" i="10" s="1"/>
  <c r="M147" i="10"/>
  <c r="G148" i="10"/>
  <c r="I148" i="10" s="1"/>
  <c r="H148" i="10"/>
  <c r="M148" i="10"/>
  <c r="G149" i="10"/>
  <c r="M149" i="10"/>
  <c r="G150" i="10"/>
  <c r="I150" i="10" s="1"/>
  <c r="H150" i="10"/>
  <c r="M150" i="10"/>
  <c r="G151" i="10"/>
  <c r="M151" i="10"/>
  <c r="G152" i="10"/>
  <c r="I152" i="10" s="1"/>
  <c r="H152" i="10"/>
  <c r="M152" i="10"/>
  <c r="G153" i="10"/>
  <c r="H153" i="10" s="1"/>
  <c r="M153" i="10"/>
  <c r="G154" i="10"/>
  <c r="I154" i="10" s="1"/>
  <c r="H154" i="10"/>
  <c r="M154" i="10"/>
  <c r="G155" i="10"/>
  <c r="M155" i="10"/>
  <c r="G156" i="10"/>
  <c r="I156" i="10" s="1"/>
  <c r="H156" i="10"/>
  <c r="M156" i="10"/>
  <c r="G157" i="10"/>
  <c r="M157" i="10"/>
  <c r="G158" i="10"/>
  <c r="I158" i="10" s="1"/>
  <c r="H158" i="10"/>
  <c r="M158" i="10"/>
  <c r="G159" i="10"/>
  <c r="M159" i="10"/>
  <c r="G160" i="10"/>
  <c r="I160" i="10" s="1"/>
  <c r="H160" i="10"/>
  <c r="M160" i="10"/>
  <c r="G161" i="10"/>
  <c r="H161" i="10" s="1"/>
  <c r="M161" i="10"/>
  <c r="G162" i="10"/>
  <c r="I162" i="10" s="1"/>
  <c r="H162" i="10"/>
  <c r="M162" i="10"/>
  <c r="G163" i="10"/>
  <c r="M163" i="10"/>
  <c r="G164" i="10"/>
  <c r="I164" i="10" s="1"/>
  <c r="H164" i="10"/>
  <c r="M164" i="10"/>
  <c r="G165" i="10"/>
  <c r="M165" i="10"/>
  <c r="G166" i="10"/>
  <c r="I166" i="10" s="1"/>
  <c r="H166" i="10"/>
  <c r="M166" i="10"/>
  <c r="G167" i="10"/>
  <c r="H167" i="10" s="1"/>
  <c r="I167" i="10"/>
  <c r="M167" i="10"/>
  <c r="G168" i="10"/>
  <c r="H168" i="10" s="1"/>
  <c r="I168" i="10"/>
  <c r="M168" i="10"/>
  <c r="G169" i="10"/>
  <c r="H169" i="10" s="1"/>
  <c r="I169" i="10"/>
  <c r="M169" i="10"/>
  <c r="G170" i="10"/>
  <c r="H170" i="10"/>
  <c r="I170" i="10"/>
  <c r="M170" i="10"/>
  <c r="G171" i="10"/>
  <c r="H171" i="10" s="1"/>
  <c r="I171" i="10"/>
  <c r="M171" i="10"/>
  <c r="G172" i="10"/>
  <c r="H172" i="10" s="1"/>
  <c r="I172" i="10"/>
  <c r="M172" i="10"/>
  <c r="G173" i="10"/>
  <c r="H173" i="10" s="1"/>
  <c r="I173" i="10"/>
  <c r="M173" i="10"/>
  <c r="G174" i="10"/>
  <c r="H174" i="10" s="1"/>
  <c r="I174" i="10"/>
  <c r="M174" i="10"/>
  <c r="G175" i="10"/>
  <c r="H175" i="10" s="1"/>
  <c r="M175" i="10"/>
  <c r="G176" i="10"/>
  <c r="H176" i="10" s="1"/>
  <c r="I176" i="10"/>
  <c r="M176" i="10"/>
  <c r="G177" i="10"/>
  <c r="H177" i="10" s="1"/>
  <c r="M177" i="10"/>
  <c r="G178" i="10"/>
  <c r="H178" i="10" s="1"/>
  <c r="M178" i="10"/>
  <c r="G179" i="10"/>
  <c r="M179" i="10"/>
  <c r="G180" i="10"/>
  <c r="H180" i="10" s="1"/>
  <c r="I180" i="10"/>
  <c r="M180" i="10"/>
  <c r="G181" i="10"/>
  <c r="H181" i="10" s="1"/>
  <c r="I181" i="10"/>
  <c r="M181" i="10"/>
  <c r="G182" i="10"/>
  <c r="H182" i="10" s="1"/>
  <c r="I182" i="10"/>
  <c r="M182" i="10"/>
  <c r="G183" i="10"/>
  <c r="H183" i="10" s="1"/>
  <c r="M183" i="10"/>
  <c r="G184" i="10"/>
  <c r="H184" i="10" s="1"/>
  <c r="I184" i="10"/>
  <c r="M184" i="10"/>
  <c r="G185" i="10"/>
  <c r="H185" i="10" s="1"/>
  <c r="M185" i="10"/>
  <c r="G186" i="10"/>
  <c r="H186" i="10" s="1"/>
  <c r="M186" i="10"/>
  <c r="G187" i="10"/>
  <c r="M187" i="10"/>
  <c r="G188" i="10"/>
  <c r="H188" i="10" s="1"/>
  <c r="I188" i="10"/>
  <c r="M188" i="10"/>
  <c r="G189" i="10"/>
  <c r="H189" i="10" s="1"/>
  <c r="I189" i="10"/>
  <c r="M189" i="10"/>
  <c r="G190" i="10"/>
  <c r="H190" i="10" s="1"/>
  <c r="I190" i="10"/>
  <c r="M190" i="10"/>
  <c r="G191" i="10"/>
  <c r="H191" i="10" s="1"/>
  <c r="M191" i="10"/>
  <c r="G192" i="10"/>
  <c r="H192" i="10" s="1"/>
  <c r="I192" i="10"/>
  <c r="M192" i="10"/>
  <c r="G193" i="10"/>
  <c r="H193" i="10" s="1"/>
  <c r="M193" i="10"/>
  <c r="G194" i="10"/>
  <c r="H194" i="10" s="1"/>
  <c r="M194" i="10"/>
  <c r="G195" i="10"/>
  <c r="M195" i="10"/>
  <c r="G196" i="10"/>
  <c r="H196" i="10" s="1"/>
  <c r="I196" i="10"/>
  <c r="M196" i="10"/>
  <c r="G197" i="10"/>
  <c r="H197" i="10" s="1"/>
  <c r="I197" i="10"/>
  <c r="M197" i="10"/>
  <c r="G198" i="10"/>
  <c r="H198" i="10" s="1"/>
  <c r="I198" i="10"/>
  <c r="M198" i="10"/>
  <c r="G199" i="10"/>
  <c r="H199" i="10" s="1"/>
  <c r="M199" i="10"/>
  <c r="G200" i="10"/>
  <c r="H200" i="10" s="1"/>
  <c r="I200" i="10"/>
  <c r="M200" i="10"/>
  <c r="G201" i="10"/>
  <c r="H201" i="10" s="1"/>
  <c r="M201" i="10"/>
  <c r="G202" i="10"/>
  <c r="H202" i="10" s="1"/>
  <c r="M202" i="10"/>
  <c r="G203" i="10"/>
  <c r="M203" i="10"/>
  <c r="G204" i="10"/>
  <c r="H204" i="10" s="1"/>
  <c r="I204" i="10"/>
  <c r="M204" i="10"/>
  <c r="G205" i="10"/>
  <c r="H205" i="10" s="1"/>
  <c r="I205" i="10"/>
  <c r="M205" i="10"/>
  <c r="G206" i="10"/>
  <c r="H206" i="10" s="1"/>
  <c r="I206" i="10"/>
  <c r="M206" i="10"/>
  <c r="G207" i="10"/>
  <c r="H207" i="10" s="1"/>
  <c r="M207" i="10"/>
  <c r="G208" i="10"/>
  <c r="H208" i="10" s="1"/>
  <c r="I208" i="10"/>
  <c r="M208" i="10"/>
  <c r="G209" i="10"/>
  <c r="H209" i="10" s="1"/>
  <c r="M209" i="10"/>
  <c r="G210" i="10"/>
  <c r="H210" i="10" s="1"/>
  <c r="M210" i="10"/>
  <c r="G211" i="10"/>
  <c r="M211" i="10"/>
  <c r="G212" i="10"/>
  <c r="H212" i="10" s="1"/>
  <c r="I212" i="10"/>
  <c r="M212" i="10"/>
  <c r="G213" i="10"/>
  <c r="H213" i="10" s="1"/>
  <c r="I213" i="10"/>
  <c r="M213" i="10"/>
  <c r="G214" i="10"/>
  <c r="H214" i="10" s="1"/>
  <c r="I214" i="10"/>
  <c r="M214" i="10"/>
  <c r="G215" i="10"/>
  <c r="H215" i="10" s="1"/>
  <c r="M215" i="10"/>
  <c r="G216" i="10"/>
  <c r="H216" i="10" s="1"/>
  <c r="I216" i="10"/>
  <c r="M216" i="10"/>
  <c r="G217" i="10"/>
  <c r="H217" i="10" s="1"/>
  <c r="M217" i="10"/>
  <c r="G218" i="10"/>
  <c r="H218" i="10" s="1"/>
  <c r="M218" i="10"/>
  <c r="G219" i="10"/>
  <c r="M219" i="10"/>
  <c r="G220" i="10"/>
  <c r="H220" i="10" s="1"/>
  <c r="I220" i="10"/>
  <c r="M220" i="10"/>
  <c r="G221" i="10"/>
  <c r="H221" i="10" s="1"/>
  <c r="I221" i="10"/>
  <c r="M221" i="10"/>
  <c r="G222" i="10"/>
  <c r="H222" i="10" s="1"/>
  <c r="I222" i="10"/>
  <c r="M222" i="10"/>
  <c r="G223" i="10"/>
  <c r="H223" i="10" s="1"/>
  <c r="M223" i="10"/>
  <c r="G224" i="10"/>
  <c r="H224" i="10" s="1"/>
  <c r="I224" i="10"/>
  <c r="M224" i="10"/>
  <c r="G225" i="10"/>
  <c r="H225" i="10" s="1"/>
  <c r="M225" i="10"/>
  <c r="G226" i="10"/>
  <c r="H226" i="10" s="1"/>
  <c r="M226" i="10"/>
  <c r="G227" i="10"/>
  <c r="M227" i="10"/>
  <c r="G228" i="10"/>
  <c r="H228" i="10" s="1"/>
  <c r="I228" i="10"/>
  <c r="M228" i="10"/>
  <c r="G229" i="10"/>
  <c r="H229" i="10" s="1"/>
  <c r="I229" i="10"/>
  <c r="M229" i="10"/>
  <c r="G230" i="10"/>
  <c r="H230" i="10" s="1"/>
  <c r="I230" i="10"/>
  <c r="M230" i="10"/>
  <c r="G231" i="10"/>
  <c r="H231" i="10" s="1"/>
  <c r="M231" i="10"/>
  <c r="G232" i="10"/>
  <c r="H232" i="10" s="1"/>
  <c r="I232" i="10"/>
  <c r="M232" i="10"/>
  <c r="G233" i="10"/>
  <c r="H233" i="10" s="1"/>
  <c r="M233" i="10"/>
  <c r="G234" i="10"/>
  <c r="H234" i="10" s="1"/>
  <c r="M234" i="10"/>
  <c r="G235" i="10"/>
  <c r="M235" i="10"/>
  <c r="G236" i="10"/>
  <c r="H236" i="10" s="1"/>
  <c r="I236" i="10"/>
  <c r="M236" i="10"/>
  <c r="G237" i="10"/>
  <c r="H237" i="10" s="1"/>
  <c r="I237" i="10"/>
  <c r="M237" i="10"/>
  <c r="G238" i="10"/>
  <c r="H238" i="10" s="1"/>
  <c r="I238" i="10"/>
  <c r="M238" i="10"/>
  <c r="G239" i="10"/>
  <c r="H239" i="10" s="1"/>
  <c r="M239" i="10"/>
  <c r="G240" i="10"/>
  <c r="H240" i="10" s="1"/>
  <c r="I240" i="10"/>
  <c r="M240" i="10"/>
  <c r="G241" i="10"/>
  <c r="H241" i="10" s="1"/>
  <c r="M241" i="10"/>
  <c r="G242" i="10"/>
  <c r="H242" i="10" s="1"/>
  <c r="M242" i="10"/>
  <c r="G243" i="10"/>
  <c r="M243" i="10"/>
  <c r="G244" i="10"/>
  <c r="H244" i="10" s="1"/>
  <c r="I244" i="10"/>
  <c r="M244" i="10"/>
  <c r="G245" i="10"/>
  <c r="H245" i="10" s="1"/>
  <c r="I245" i="10"/>
  <c r="M245" i="10"/>
  <c r="G246" i="10"/>
  <c r="H246" i="10" s="1"/>
  <c r="I246" i="10"/>
  <c r="M246" i="10"/>
  <c r="G247" i="10"/>
  <c r="H247" i="10" s="1"/>
  <c r="M247" i="10"/>
  <c r="G248" i="10"/>
  <c r="H248" i="10" s="1"/>
  <c r="I248" i="10"/>
  <c r="M248" i="10"/>
  <c r="G249" i="10"/>
  <c r="H249" i="10" s="1"/>
  <c r="M249" i="10"/>
  <c r="G250" i="10"/>
  <c r="H250" i="10" s="1"/>
  <c r="M250" i="10"/>
  <c r="G251" i="10"/>
  <c r="M251" i="10"/>
  <c r="G252" i="10"/>
  <c r="H252" i="10" s="1"/>
  <c r="I252" i="10"/>
  <c r="M252" i="10"/>
  <c r="G253" i="10"/>
  <c r="H253" i="10" s="1"/>
  <c r="I253" i="10"/>
  <c r="M253" i="10"/>
  <c r="G254" i="10"/>
  <c r="H254" i="10" s="1"/>
  <c r="I254" i="10"/>
  <c r="M254" i="10"/>
  <c r="G255" i="10"/>
  <c r="H255" i="10" s="1"/>
  <c r="M255" i="10"/>
  <c r="G256" i="10"/>
  <c r="H256" i="10" s="1"/>
  <c r="I256" i="10"/>
  <c r="M256" i="10"/>
  <c r="G257" i="10"/>
  <c r="H257" i="10" s="1"/>
  <c r="M257" i="10"/>
  <c r="G258" i="10"/>
  <c r="H258" i="10" s="1"/>
  <c r="M258" i="10"/>
  <c r="G259" i="10"/>
  <c r="M259" i="10"/>
  <c r="G260" i="10"/>
  <c r="H260" i="10" s="1"/>
  <c r="I260" i="10"/>
  <c r="M260" i="10"/>
  <c r="G261" i="10"/>
  <c r="H261" i="10" s="1"/>
  <c r="I261" i="10"/>
  <c r="M261" i="10"/>
  <c r="G262" i="10"/>
  <c r="H262" i="10" s="1"/>
  <c r="I262" i="10"/>
  <c r="M262" i="10"/>
  <c r="G263" i="10"/>
  <c r="H263" i="10" s="1"/>
  <c r="M263" i="10"/>
  <c r="G264" i="10"/>
  <c r="H264" i="10" s="1"/>
  <c r="I264" i="10"/>
  <c r="M264" i="10"/>
  <c r="G265" i="10"/>
  <c r="H265" i="10" s="1"/>
  <c r="M265" i="10"/>
  <c r="G266" i="10"/>
  <c r="H266" i="10" s="1"/>
  <c r="M266" i="10"/>
  <c r="G267" i="10"/>
  <c r="M267" i="10"/>
  <c r="G268" i="10"/>
  <c r="H268" i="10" s="1"/>
  <c r="I268" i="10"/>
  <c r="M268" i="10"/>
  <c r="G269" i="10"/>
  <c r="H269" i="10" s="1"/>
  <c r="I269" i="10"/>
  <c r="M269" i="10"/>
  <c r="G270" i="10"/>
  <c r="H270" i="10" s="1"/>
  <c r="I270" i="10"/>
  <c r="M270" i="10"/>
  <c r="G271" i="10"/>
  <c r="H271" i="10" s="1"/>
  <c r="M271" i="10"/>
  <c r="G272" i="10"/>
  <c r="H272" i="10" s="1"/>
  <c r="I272" i="10"/>
  <c r="M272" i="10"/>
  <c r="G273" i="10"/>
  <c r="H273" i="10" s="1"/>
  <c r="M273" i="10"/>
  <c r="G274" i="10"/>
  <c r="H274" i="10" s="1"/>
  <c r="M274" i="10"/>
  <c r="G275" i="10"/>
  <c r="M275" i="10"/>
  <c r="G276" i="10"/>
  <c r="H276" i="10" s="1"/>
  <c r="I276" i="10"/>
  <c r="M276" i="10"/>
  <c r="G277" i="10"/>
  <c r="H277" i="10" s="1"/>
  <c r="I277" i="10"/>
  <c r="M277" i="10"/>
  <c r="G278" i="10"/>
  <c r="H278" i="10" s="1"/>
  <c r="I278" i="10"/>
  <c r="M278" i="10"/>
  <c r="G279" i="10"/>
  <c r="H279" i="10" s="1"/>
  <c r="M279" i="10"/>
  <c r="G280" i="10"/>
  <c r="H280" i="10" s="1"/>
  <c r="I280" i="10"/>
  <c r="M280" i="10"/>
  <c r="G281" i="10"/>
  <c r="H281" i="10" s="1"/>
  <c r="M281" i="10"/>
  <c r="G282" i="10"/>
  <c r="H282" i="10" s="1"/>
  <c r="M282" i="10"/>
  <c r="G283" i="10"/>
  <c r="M283" i="10"/>
  <c r="G284" i="10"/>
  <c r="H284" i="10" s="1"/>
  <c r="I284" i="10"/>
  <c r="M284" i="10"/>
  <c r="G285" i="10"/>
  <c r="H285" i="10" s="1"/>
  <c r="I285" i="10"/>
  <c r="M285" i="10"/>
  <c r="G286" i="10"/>
  <c r="H286" i="10" s="1"/>
  <c r="I286" i="10"/>
  <c r="M286" i="10"/>
  <c r="G287" i="10"/>
  <c r="H287" i="10" s="1"/>
  <c r="M287" i="10"/>
  <c r="G288" i="10"/>
  <c r="H288" i="10" s="1"/>
  <c r="I288" i="10"/>
  <c r="M288" i="10"/>
  <c r="G289" i="10"/>
  <c r="H289" i="10" s="1"/>
  <c r="M289" i="10"/>
  <c r="G290" i="10"/>
  <c r="H290" i="10" s="1"/>
  <c r="M290" i="10"/>
  <c r="G291" i="10"/>
  <c r="M291" i="10"/>
  <c r="G292" i="10"/>
  <c r="H292" i="10" s="1"/>
  <c r="I292" i="10"/>
  <c r="M292" i="10"/>
  <c r="G293" i="10"/>
  <c r="H293" i="10" s="1"/>
  <c r="I293" i="10"/>
  <c r="M293" i="10"/>
  <c r="G294" i="10"/>
  <c r="H294" i="10" s="1"/>
  <c r="I294" i="10"/>
  <c r="M294" i="10"/>
  <c r="G295" i="10"/>
  <c r="H295" i="10" s="1"/>
  <c r="M295" i="10"/>
  <c r="G296" i="10"/>
  <c r="H296" i="10" s="1"/>
  <c r="I296" i="10"/>
  <c r="M296" i="10"/>
  <c r="G297" i="10"/>
  <c r="H297" i="10" s="1"/>
  <c r="M297" i="10"/>
  <c r="G298" i="10"/>
  <c r="H298" i="10" s="1"/>
  <c r="M298" i="10"/>
  <c r="G299" i="10"/>
  <c r="M299" i="10"/>
  <c r="G300" i="10"/>
  <c r="H300" i="10" s="1"/>
  <c r="I300" i="10"/>
  <c r="M300" i="10"/>
  <c r="G301" i="10"/>
  <c r="H301" i="10" s="1"/>
  <c r="I301" i="10"/>
  <c r="M301" i="10"/>
  <c r="G302" i="10"/>
  <c r="H302" i="10" s="1"/>
  <c r="I302" i="10"/>
  <c r="M302" i="10"/>
  <c r="G303" i="10"/>
  <c r="H303" i="10" s="1"/>
  <c r="M303" i="10"/>
  <c r="G304" i="10"/>
  <c r="H304" i="10" s="1"/>
  <c r="I304" i="10"/>
  <c r="M304" i="10"/>
  <c r="G305" i="10"/>
  <c r="H305" i="10" s="1"/>
  <c r="M305" i="10"/>
  <c r="G306" i="10"/>
  <c r="H306" i="10" s="1"/>
  <c r="M306" i="10"/>
  <c r="G307" i="10"/>
  <c r="M307" i="10"/>
  <c r="G308" i="10"/>
  <c r="H308" i="10" s="1"/>
  <c r="I308" i="10"/>
  <c r="M308" i="10"/>
  <c r="G309" i="10"/>
  <c r="H309" i="10" s="1"/>
  <c r="I309" i="10"/>
  <c r="M309" i="10"/>
  <c r="G310" i="10"/>
  <c r="H310" i="10" s="1"/>
  <c r="I310" i="10"/>
  <c r="M310" i="10"/>
  <c r="G311" i="10"/>
  <c r="H311" i="10" s="1"/>
  <c r="M311" i="10"/>
  <c r="G312" i="10"/>
  <c r="H312" i="10" s="1"/>
  <c r="I312" i="10"/>
  <c r="M312" i="10"/>
  <c r="G313" i="10"/>
  <c r="H313" i="10" s="1"/>
  <c r="M313" i="10"/>
  <c r="G314" i="10"/>
  <c r="H314" i="10" s="1"/>
  <c r="M314" i="10"/>
  <c r="G315" i="10"/>
  <c r="M315" i="10"/>
  <c r="G316" i="10"/>
  <c r="H316" i="10" s="1"/>
  <c r="I316" i="10"/>
  <c r="M316" i="10"/>
  <c r="G317" i="10"/>
  <c r="H317" i="10" s="1"/>
  <c r="I317" i="10"/>
  <c r="M317" i="10"/>
  <c r="G318" i="10"/>
  <c r="H318" i="10" s="1"/>
  <c r="I318" i="10"/>
  <c r="M318" i="10"/>
  <c r="G319" i="10"/>
  <c r="H319" i="10" s="1"/>
  <c r="M319" i="10"/>
  <c r="G320" i="10"/>
  <c r="H320" i="10" s="1"/>
  <c r="I320" i="10"/>
  <c r="M320" i="10"/>
  <c r="G321" i="10"/>
  <c r="H321" i="10" s="1"/>
  <c r="I321" i="10"/>
  <c r="M321" i="10"/>
  <c r="G322" i="10"/>
  <c r="H322" i="10"/>
  <c r="I322" i="10"/>
  <c r="M322" i="10"/>
  <c r="G323" i="10"/>
  <c r="H323" i="10" s="1"/>
  <c r="I323" i="10"/>
  <c r="M323" i="10"/>
  <c r="G324" i="10"/>
  <c r="H324" i="10"/>
  <c r="I324" i="10"/>
  <c r="M324" i="10"/>
  <c r="G325" i="10"/>
  <c r="H325" i="10" s="1"/>
  <c r="I325" i="10"/>
  <c r="M325" i="10"/>
  <c r="G326" i="10"/>
  <c r="H326" i="10"/>
  <c r="I326" i="10"/>
  <c r="M326" i="10"/>
  <c r="G327" i="10"/>
  <c r="H327" i="10" s="1"/>
  <c r="I327" i="10"/>
  <c r="M327" i="10"/>
  <c r="G328" i="10"/>
  <c r="H328" i="10"/>
  <c r="I328" i="10"/>
  <c r="M328" i="10"/>
  <c r="G329" i="10"/>
  <c r="H329" i="10" s="1"/>
  <c r="I329" i="10"/>
  <c r="M329" i="10"/>
  <c r="G330" i="10"/>
  <c r="H330" i="10"/>
  <c r="I330" i="10"/>
  <c r="M330" i="10"/>
  <c r="G331" i="10"/>
  <c r="H331" i="10" s="1"/>
  <c r="I331" i="10"/>
  <c r="M331" i="10"/>
  <c r="G332" i="10"/>
  <c r="H332" i="10"/>
  <c r="I332" i="10"/>
  <c r="M332" i="10"/>
  <c r="G333" i="10"/>
  <c r="H333" i="10" s="1"/>
  <c r="I333" i="10"/>
  <c r="M333" i="10"/>
  <c r="G334" i="10"/>
  <c r="H334" i="10"/>
  <c r="I334" i="10"/>
  <c r="M334" i="10"/>
  <c r="G335" i="10"/>
  <c r="H335" i="10" s="1"/>
  <c r="I335" i="10"/>
  <c r="M335" i="10"/>
  <c r="G336" i="10"/>
  <c r="H336" i="10"/>
  <c r="I336" i="10"/>
  <c r="M336" i="10"/>
  <c r="G337" i="10"/>
  <c r="H337" i="10" s="1"/>
  <c r="I337" i="10"/>
  <c r="M337" i="10"/>
  <c r="G338" i="10"/>
  <c r="H338" i="10"/>
  <c r="I338" i="10"/>
  <c r="M338" i="10"/>
  <c r="G339" i="10"/>
  <c r="H339" i="10" s="1"/>
  <c r="I339" i="10"/>
  <c r="M339" i="10"/>
  <c r="G340" i="10"/>
  <c r="H340" i="10"/>
  <c r="I340" i="10"/>
  <c r="M340" i="10"/>
  <c r="G341" i="10"/>
  <c r="H341" i="10" s="1"/>
  <c r="I341" i="10"/>
  <c r="M341" i="10"/>
  <c r="G342" i="10"/>
  <c r="H342" i="10"/>
  <c r="I342" i="10"/>
  <c r="M342" i="10"/>
  <c r="G343" i="10"/>
  <c r="H343" i="10" s="1"/>
  <c r="I343" i="10"/>
  <c r="M343" i="10"/>
  <c r="G344" i="10"/>
  <c r="H344" i="10"/>
  <c r="I344" i="10"/>
  <c r="M344" i="10"/>
  <c r="G345" i="10"/>
  <c r="H345" i="10" s="1"/>
  <c r="I345" i="10"/>
  <c r="M345" i="10"/>
  <c r="G346" i="10"/>
  <c r="H346" i="10"/>
  <c r="I346" i="10"/>
  <c r="M346" i="10"/>
  <c r="G347" i="10"/>
  <c r="H347" i="10" s="1"/>
  <c r="I347" i="10"/>
  <c r="M347" i="10"/>
  <c r="G348" i="10"/>
  <c r="H348" i="10"/>
  <c r="I348" i="10"/>
  <c r="M348" i="10"/>
  <c r="G349" i="10"/>
  <c r="H349" i="10" s="1"/>
  <c r="I349" i="10"/>
  <c r="M349" i="10"/>
  <c r="G350" i="10"/>
  <c r="H350" i="10"/>
  <c r="I350" i="10"/>
  <c r="M350" i="10"/>
  <c r="G351" i="10"/>
  <c r="H351" i="10" s="1"/>
  <c r="I351" i="10"/>
  <c r="M351" i="10"/>
  <c r="G352" i="10"/>
  <c r="H352" i="10"/>
  <c r="I352" i="10"/>
  <c r="M352" i="10"/>
  <c r="G353" i="10"/>
  <c r="H353" i="10" s="1"/>
  <c r="I353" i="10"/>
  <c r="M353" i="10"/>
  <c r="G354" i="10"/>
  <c r="H354" i="10"/>
  <c r="I354" i="10"/>
  <c r="M354" i="10"/>
  <c r="G355" i="10"/>
  <c r="H355" i="10" s="1"/>
  <c r="I355" i="10"/>
  <c r="M355" i="10"/>
  <c r="G356" i="10"/>
  <c r="H356" i="10"/>
  <c r="I356" i="10"/>
  <c r="M356" i="10"/>
  <c r="G357" i="10"/>
  <c r="H357" i="10" s="1"/>
  <c r="I357" i="10"/>
  <c r="M357" i="10"/>
  <c r="G358" i="10"/>
  <c r="H358" i="10"/>
  <c r="I358" i="10"/>
  <c r="M358" i="10"/>
  <c r="G359" i="10"/>
  <c r="H359" i="10" s="1"/>
  <c r="I359" i="10"/>
  <c r="M359" i="10"/>
  <c r="G360" i="10"/>
  <c r="H360" i="10"/>
  <c r="I360" i="10"/>
  <c r="M360" i="10"/>
  <c r="G361" i="10"/>
  <c r="H361" i="10" s="1"/>
  <c r="I361" i="10"/>
  <c r="M361" i="10"/>
  <c r="G362" i="10"/>
  <c r="H362" i="10"/>
  <c r="I362" i="10"/>
  <c r="M362" i="10"/>
  <c r="G363" i="10"/>
  <c r="H363" i="10" s="1"/>
  <c r="I363" i="10"/>
  <c r="M363" i="10"/>
  <c r="G364" i="10"/>
  <c r="H364" i="10"/>
  <c r="I364" i="10"/>
  <c r="M364" i="10"/>
  <c r="G365" i="10"/>
  <c r="H365" i="10" s="1"/>
  <c r="I365" i="10"/>
  <c r="M365" i="10"/>
  <c r="G366" i="10"/>
  <c r="H366" i="10"/>
  <c r="I366" i="10"/>
  <c r="M366" i="10"/>
  <c r="G367" i="10"/>
  <c r="H367" i="10" s="1"/>
  <c r="I367" i="10"/>
  <c r="M367" i="10"/>
  <c r="G368" i="10"/>
  <c r="H368" i="10"/>
  <c r="I368" i="10"/>
  <c r="M368" i="10"/>
  <c r="G369" i="10"/>
  <c r="H369" i="10" s="1"/>
  <c r="I369" i="10"/>
  <c r="M369" i="10"/>
  <c r="G370" i="10"/>
  <c r="H370" i="10"/>
  <c r="I370" i="10"/>
  <c r="M370" i="10"/>
  <c r="G371" i="10"/>
  <c r="H371" i="10" s="1"/>
  <c r="I371" i="10"/>
  <c r="M371" i="10"/>
  <c r="G372" i="10"/>
  <c r="H372" i="10"/>
  <c r="I372" i="10"/>
  <c r="M372" i="10"/>
  <c r="G373" i="10"/>
  <c r="H373" i="10" s="1"/>
  <c r="I373" i="10"/>
  <c r="M373" i="10"/>
  <c r="G374" i="10"/>
  <c r="H374" i="10"/>
  <c r="I374" i="10"/>
  <c r="M374" i="10"/>
  <c r="G375" i="10"/>
  <c r="H375" i="10" s="1"/>
  <c r="I375" i="10"/>
  <c r="M375" i="10"/>
  <c r="G376" i="10"/>
  <c r="H376" i="10"/>
  <c r="I376" i="10"/>
  <c r="M376" i="10"/>
  <c r="G377" i="10"/>
  <c r="H377" i="10" s="1"/>
  <c r="I377" i="10"/>
  <c r="M377" i="10"/>
  <c r="G378" i="10"/>
  <c r="H378" i="10"/>
  <c r="I378" i="10"/>
  <c r="M378" i="10"/>
  <c r="G379" i="10"/>
  <c r="H379" i="10" s="1"/>
  <c r="I379" i="10"/>
  <c r="M379" i="10"/>
  <c r="G380" i="10"/>
  <c r="H380" i="10"/>
  <c r="I380" i="10"/>
  <c r="M380" i="10"/>
  <c r="G381" i="10"/>
  <c r="H381" i="10" s="1"/>
  <c r="I381" i="10"/>
  <c r="M381" i="10"/>
  <c r="G382" i="10"/>
  <c r="H382" i="10"/>
  <c r="I382" i="10"/>
  <c r="M382" i="10"/>
  <c r="G383" i="10"/>
  <c r="H383" i="10" s="1"/>
  <c r="I383" i="10"/>
  <c r="M383" i="10"/>
  <c r="G384" i="10"/>
  <c r="H384" i="10"/>
  <c r="I384" i="10"/>
  <c r="M384" i="10"/>
  <c r="G385" i="10"/>
  <c r="H385" i="10" s="1"/>
  <c r="I385" i="10"/>
  <c r="M385" i="10"/>
  <c r="G386" i="10"/>
  <c r="H386" i="10"/>
  <c r="I386" i="10"/>
  <c r="M386" i="10"/>
  <c r="G387" i="10"/>
  <c r="H387" i="10" s="1"/>
  <c r="I387" i="10"/>
  <c r="M387" i="10"/>
  <c r="G388" i="10"/>
  <c r="H388" i="10"/>
  <c r="I388" i="10"/>
  <c r="M388" i="10"/>
  <c r="G389" i="10"/>
  <c r="H389" i="10" s="1"/>
  <c r="I389" i="10"/>
  <c r="M389" i="10"/>
  <c r="G390" i="10"/>
  <c r="H390" i="10"/>
  <c r="I390" i="10"/>
  <c r="M390" i="10"/>
  <c r="G391" i="10"/>
  <c r="H391" i="10" s="1"/>
  <c r="I391" i="10"/>
  <c r="M391" i="10"/>
  <c r="G392" i="10"/>
  <c r="H392" i="10"/>
  <c r="I392" i="10"/>
  <c r="M392" i="10"/>
  <c r="G393" i="10"/>
  <c r="H393" i="10" s="1"/>
  <c r="I393" i="10"/>
  <c r="M393" i="10"/>
  <c r="G394" i="10"/>
  <c r="H394" i="10"/>
  <c r="I394" i="10"/>
  <c r="M394" i="10"/>
  <c r="G395" i="10"/>
  <c r="H395" i="10" s="1"/>
  <c r="I395" i="10"/>
  <c r="M395" i="10"/>
  <c r="G396" i="10"/>
  <c r="H396" i="10"/>
  <c r="I396" i="10"/>
  <c r="M396" i="10"/>
  <c r="G397" i="10"/>
  <c r="H397" i="10" s="1"/>
  <c r="I397" i="10"/>
  <c r="M397" i="10"/>
  <c r="G398" i="10"/>
  <c r="H398" i="10"/>
  <c r="I398" i="10"/>
  <c r="M398" i="10"/>
  <c r="G399" i="10"/>
  <c r="H399" i="10" s="1"/>
  <c r="I399" i="10"/>
  <c r="M399" i="10"/>
  <c r="G400" i="10"/>
  <c r="H400" i="10"/>
  <c r="I400" i="10"/>
  <c r="M400" i="10"/>
  <c r="G401" i="10"/>
  <c r="H401" i="10" s="1"/>
  <c r="M401" i="10"/>
  <c r="G402" i="10"/>
  <c r="H402" i="10"/>
  <c r="I402" i="10"/>
  <c r="M402" i="10"/>
  <c r="G403" i="10"/>
  <c r="H403" i="10" s="1"/>
  <c r="M403" i="10"/>
  <c r="G404" i="10"/>
  <c r="H404" i="10"/>
  <c r="I404" i="10"/>
  <c r="M404" i="10"/>
  <c r="G405" i="10"/>
  <c r="H405" i="10" s="1"/>
  <c r="I405" i="10"/>
  <c r="M405" i="10"/>
  <c r="G406" i="10"/>
  <c r="H406" i="10"/>
  <c r="I406" i="10"/>
  <c r="M406" i="10"/>
  <c r="G407" i="10"/>
  <c r="H407" i="10" s="1"/>
  <c r="M407" i="10"/>
  <c r="G408" i="10"/>
  <c r="H408" i="10"/>
  <c r="I408" i="10"/>
  <c r="M408" i="10"/>
  <c r="G409" i="10"/>
  <c r="H409" i="10" s="1"/>
  <c r="I409" i="10"/>
  <c r="M409" i="10"/>
  <c r="G410" i="10"/>
  <c r="H410" i="10"/>
  <c r="I410" i="10"/>
  <c r="M410" i="10"/>
  <c r="G411" i="10"/>
  <c r="H411" i="10" s="1"/>
  <c r="M411" i="10"/>
  <c r="G412" i="10"/>
  <c r="H412" i="10"/>
  <c r="I412" i="10"/>
  <c r="M412" i="10"/>
  <c r="G413" i="10"/>
  <c r="H413" i="10" s="1"/>
  <c r="M413" i="10"/>
  <c r="G414" i="10"/>
  <c r="H414" i="10"/>
  <c r="I414" i="10"/>
  <c r="M414" i="10"/>
  <c r="G415" i="10"/>
  <c r="H415" i="10" s="1"/>
  <c r="I415" i="10"/>
  <c r="M415" i="10"/>
  <c r="G416" i="10"/>
  <c r="H416" i="10"/>
  <c r="I416" i="10"/>
  <c r="M416" i="10"/>
  <c r="G417" i="10"/>
  <c r="H417" i="10" s="1"/>
  <c r="M417" i="10"/>
  <c r="G418" i="10"/>
  <c r="H418" i="10"/>
  <c r="I418" i="10"/>
  <c r="M418" i="10"/>
  <c r="G419" i="10"/>
  <c r="H419" i="10" s="1"/>
  <c r="M419" i="10"/>
  <c r="G420" i="10"/>
  <c r="H420" i="10"/>
  <c r="I420" i="10"/>
  <c r="M420" i="10"/>
  <c r="G421" i="10"/>
  <c r="H421" i="10" s="1"/>
  <c r="I421" i="10"/>
  <c r="M421" i="10"/>
  <c r="G422" i="10"/>
  <c r="H422" i="10"/>
  <c r="I422" i="10"/>
  <c r="M422" i="10"/>
  <c r="G423" i="10"/>
  <c r="H423" i="10" s="1"/>
  <c r="M423" i="10"/>
  <c r="G424" i="10"/>
  <c r="H424" i="10"/>
  <c r="I424" i="10"/>
  <c r="M424" i="10"/>
  <c r="G425" i="10"/>
  <c r="H425" i="10" s="1"/>
  <c r="I425" i="10"/>
  <c r="M425" i="10"/>
  <c r="G426" i="10"/>
  <c r="H426" i="10"/>
  <c r="I426" i="10"/>
  <c r="M426" i="10"/>
  <c r="G427" i="10"/>
  <c r="H427" i="10" s="1"/>
  <c r="I427" i="10"/>
  <c r="M427" i="10"/>
  <c r="G428" i="10"/>
  <c r="H428" i="10"/>
  <c r="I428" i="10"/>
  <c r="M428" i="10"/>
  <c r="G429" i="10"/>
  <c r="H429" i="10" s="1"/>
  <c r="M429" i="10"/>
  <c r="G430" i="10"/>
  <c r="H430" i="10"/>
  <c r="I430" i="10"/>
  <c r="M430" i="10"/>
  <c r="G431" i="10"/>
  <c r="H431" i="10" s="1"/>
  <c r="I431" i="10"/>
  <c r="M431" i="10"/>
  <c r="G432" i="10"/>
  <c r="H432" i="10"/>
  <c r="I432" i="10"/>
  <c r="M432" i="10"/>
  <c r="G433" i="10"/>
  <c r="H433" i="10" s="1"/>
  <c r="M433" i="10"/>
  <c r="G434" i="10"/>
  <c r="H434" i="10"/>
  <c r="I434" i="10"/>
  <c r="M434" i="10"/>
  <c r="G435" i="10"/>
  <c r="H435" i="10" s="1"/>
  <c r="M435" i="10"/>
  <c r="G436" i="10"/>
  <c r="H436" i="10"/>
  <c r="I436" i="10"/>
  <c r="M436" i="10"/>
  <c r="G437" i="10"/>
  <c r="H437" i="10" s="1"/>
  <c r="I437" i="10"/>
  <c r="M437" i="10"/>
  <c r="G438" i="10"/>
  <c r="H438" i="10"/>
  <c r="I438" i="10"/>
  <c r="M438" i="10"/>
  <c r="G439" i="10"/>
  <c r="H439" i="10" s="1"/>
  <c r="M439" i="10"/>
  <c r="G440" i="10"/>
  <c r="H440" i="10"/>
  <c r="I440" i="10"/>
  <c r="M440" i="10"/>
  <c r="G441" i="10"/>
  <c r="H441" i="10" s="1"/>
  <c r="I441" i="10"/>
  <c r="M441" i="10"/>
  <c r="G442" i="10"/>
  <c r="H442" i="10"/>
  <c r="I442" i="10"/>
  <c r="M442" i="10"/>
  <c r="G443" i="10"/>
  <c r="H443" i="10" s="1"/>
  <c r="I443" i="10"/>
  <c r="M443" i="10"/>
  <c r="G444" i="10"/>
  <c r="H444" i="10"/>
  <c r="I444" i="10"/>
  <c r="M444" i="10"/>
  <c r="G445" i="10"/>
  <c r="H445" i="10" s="1"/>
  <c r="M445" i="10"/>
  <c r="G446" i="10"/>
  <c r="H446" i="10"/>
  <c r="I446" i="10"/>
  <c r="M446" i="10"/>
  <c r="G447" i="10"/>
  <c r="H447" i="10" s="1"/>
  <c r="I447" i="10"/>
  <c r="M447" i="10"/>
  <c r="G448" i="10"/>
  <c r="H448" i="10"/>
  <c r="I448" i="10"/>
  <c r="M448" i="10"/>
  <c r="G449" i="10"/>
  <c r="H449" i="10" s="1"/>
  <c r="M449" i="10"/>
  <c r="G450" i="10"/>
  <c r="H450" i="10"/>
  <c r="I450" i="10"/>
  <c r="M450" i="10"/>
  <c r="G451" i="10"/>
  <c r="H451" i="10" s="1"/>
  <c r="M451" i="10"/>
  <c r="G452" i="10"/>
  <c r="H452" i="10"/>
  <c r="I452" i="10"/>
  <c r="M452" i="10"/>
  <c r="G453" i="10"/>
  <c r="H453" i="10" s="1"/>
  <c r="I453" i="10"/>
  <c r="M453" i="10"/>
  <c r="G454" i="10"/>
  <c r="H454" i="10"/>
  <c r="I454" i="10"/>
  <c r="M454" i="10"/>
  <c r="G455" i="10"/>
  <c r="H455" i="10" s="1"/>
  <c r="M455" i="10"/>
  <c r="G456" i="10"/>
  <c r="H456" i="10"/>
  <c r="I456" i="10"/>
  <c r="M456" i="10"/>
  <c r="G457" i="10"/>
  <c r="H457" i="10" s="1"/>
  <c r="I457" i="10"/>
  <c r="M457" i="10"/>
  <c r="G458" i="10"/>
  <c r="H458" i="10"/>
  <c r="I458" i="10"/>
  <c r="M458" i="10"/>
  <c r="G459" i="10"/>
  <c r="H459" i="10" s="1"/>
  <c r="I459" i="10"/>
  <c r="M459" i="10"/>
  <c r="G460" i="10"/>
  <c r="H460" i="10"/>
  <c r="I460" i="10"/>
  <c r="M460" i="10"/>
  <c r="G461" i="10"/>
  <c r="H461" i="10" s="1"/>
  <c r="M461" i="10"/>
  <c r="G462" i="10"/>
  <c r="H462" i="10"/>
  <c r="I462" i="10"/>
  <c r="M462" i="10"/>
  <c r="G463" i="10"/>
  <c r="H463" i="10" s="1"/>
  <c r="I463" i="10"/>
  <c r="M463" i="10"/>
  <c r="G464" i="10"/>
  <c r="H464" i="10"/>
  <c r="I464" i="10"/>
  <c r="M464" i="10"/>
  <c r="G465" i="10"/>
  <c r="H465" i="10" s="1"/>
  <c r="M465" i="10"/>
  <c r="G466" i="10"/>
  <c r="H466" i="10"/>
  <c r="I466" i="10"/>
  <c r="M466" i="10"/>
  <c r="G467" i="10"/>
  <c r="H467" i="10" s="1"/>
  <c r="M467" i="10"/>
  <c r="G468" i="10"/>
  <c r="H468" i="10"/>
  <c r="I468" i="10"/>
  <c r="M468" i="10"/>
  <c r="G469" i="10"/>
  <c r="H469" i="10" s="1"/>
  <c r="I469" i="10"/>
  <c r="M469" i="10"/>
  <c r="G470" i="10"/>
  <c r="H470" i="10"/>
  <c r="I470" i="10"/>
  <c r="M470" i="10"/>
  <c r="G471" i="10"/>
  <c r="H471" i="10" s="1"/>
  <c r="M471" i="10"/>
  <c r="G472" i="10"/>
  <c r="H472" i="10"/>
  <c r="I472" i="10"/>
  <c r="M472" i="10"/>
  <c r="G473" i="10"/>
  <c r="H473" i="10" s="1"/>
  <c r="I473" i="10"/>
  <c r="M473" i="10"/>
  <c r="G474" i="10"/>
  <c r="H474" i="10"/>
  <c r="I474" i="10"/>
  <c r="M474" i="10"/>
  <c r="G475" i="10"/>
  <c r="H475" i="10" s="1"/>
  <c r="I475" i="10"/>
  <c r="M475" i="10"/>
  <c r="G476" i="10"/>
  <c r="H476" i="10"/>
  <c r="I476" i="10"/>
  <c r="M476" i="10"/>
  <c r="G477" i="10"/>
  <c r="H477" i="10" s="1"/>
  <c r="M477" i="10"/>
  <c r="G478" i="10"/>
  <c r="H478" i="10"/>
  <c r="I478" i="10"/>
  <c r="M478" i="10"/>
  <c r="G479" i="10"/>
  <c r="H479" i="10" s="1"/>
  <c r="I479" i="10"/>
  <c r="M479" i="10"/>
  <c r="G480" i="10"/>
  <c r="H480" i="10"/>
  <c r="I480" i="10"/>
  <c r="M480" i="10"/>
  <c r="G481" i="10"/>
  <c r="H481" i="10" s="1"/>
  <c r="M481" i="10"/>
  <c r="G482" i="10"/>
  <c r="H482" i="10"/>
  <c r="I482" i="10"/>
  <c r="M482" i="10"/>
  <c r="G483" i="10"/>
  <c r="H483" i="10" s="1"/>
  <c r="M483" i="10"/>
  <c r="G484" i="10"/>
  <c r="H484" i="10"/>
  <c r="I484" i="10"/>
  <c r="M484" i="10"/>
  <c r="G485" i="10"/>
  <c r="H485" i="10" s="1"/>
  <c r="I485" i="10"/>
  <c r="M485" i="10"/>
  <c r="G486" i="10"/>
  <c r="H486" i="10"/>
  <c r="I486" i="10"/>
  <c r="M486" i="10"/>
  <c r="G487" i="10"/>
  <c r="H487" i="10" s="1"/>
  <c r="M487" i="10"/>
  <c r="G488" i="10"/>
  <c r="H488" i="10"/>
  <c r="I488" i="10"/>
  <c r="M488" i="10"/>
  <c r="G489" i="10"/>
  <c r="H489" i="10" s="1"/>
  <c r="I489" i="10"/>
  <c r="M489" i="10"/>
  <c r="G490" i="10"/>
  <c r="H490" i="10"/>
  <c r="I490" i="10"/>
  <c r="M490" i="10"/>
  <c r="G491" i="10"/>
  <c r="H491" i="10" s="1"/>
  <c r="I491" i="10"/>
  <c r="M491" i="10"/>
  <c r="G492" i="10"/>
  <c r="H492" i="10"/>
  <c r="I492" i="10"/>
  <c r="M492" i="10"/>
  <c r="G493" i="10"/>
  <c r="H493" i="10" s="1"/>
  <c r="M493" i="10"/>
  <c r="G494" i="10"/>
  <c r="H494" i="10"/>
  <c r="I494" i="10"/>
  <c r="M494" i="10"/>
  <c r="G495" i="10"/>
  <c r="H495" i="10" s="1"/>
  <c r="I495" i="10"/>
  <c r="M495" i="10"/>
  <c r="G496" i="10"/>
  <c r="H496" i="10"/>
  <c r="I496" i="10"/>
  <c r="M496" i="10"/>
  <c r="G497" i="10"/>
  <c r="H497" i="10" s="1"/>
  <c r="M497" i="10"/>
  <c r="G498" i="10"/>
  <c r="H498" i="10"/>
  <c r="I498" i="10"/>
  <c r="M498" i="10"/>
  <c r="G499" i="10"/>
  <c r="H499" i="10" s="1"/>
  <c r="M499" i="10"/>
  <c r="G500" i="10"/>
  <c r="H500" i="10"/>
  <c r="I500" i="10"/>
  <c r="M500" i="10"/>
  <c r="G501" i="10"/>
  <c r="H501" i="10" s="1"/>
  <c r="I501" i="10"/>
  <c r="M501" i="10"/>
  <c r="G502" i="10"/>
  <c r="H502" i="10"/>
  <c r="I502" i="10"/>
  <c r="M502" i="10"/>
  <c r="G503" i="10"/>
  <c r="H503" i="10" s="1"/>
  <c r="M503" i="10"/>
  <c r="G504" i="10"/>
  <c r="H504" i="10"/>
  <c r="I504" i="10"/>
  <c r="M504" i="10"/>
  <c r="G505" i="10"/>
  <c r="H505" i="10" s="1"/>
  <c r="I505" i="10"/>
  <c r="M505" i="10"/>
  <c r="G506" i="10"/>
  <c r="H506" i="10"/>
  <c r="I506" i="10"/>
  <c r="M506" i="10"/>
  <c r="G507" i="10"/>
  <c r="H507" i="10" s="1"/>
  <c r="I507" i="10"/>
  <c r="M507" i="10"/>
  <c r="G508" i="10"/>
  <c r="H508" i="10"/>
  <c r="I508" i="10"/>
  <c r="M508" i="10"/>
  <c r="G509" i="10"/>
  <c r="H509" i="10" s="1"/>
  <c r="M509" i="10"/>
  <c r="G510" i="10"/>
  <c r="H510" i="10"/>
  <c r="I510" i="10"/>
  <c r="M510" i="10"/>
  <c r="G511" i="10"/>
  <c r="H511" i="10" s="1"/>
  <c r="I511" i="10"/>
  <c r="M511" i="10"/>
  <c r="G512" i="10"/>
  <c r="H512" i="10"/>
  <c r="I512" i="10"/>
  <c r="M512" i="10"/>
  <c r="G513" i="10"/>
  <c r="H513" i="10" s="1"/>
  <c r="M513" i="10"/>
  <c r="G514" i="10"/>
  <c r="H514" i="10"/>
  <c r="I514" i="10"/>
  <c r="M514" i="10"/>
  <c r="G515" i="10"/>
  <c r="H515" i="10" s="1"/>
  <c r="M515" i="10"/>
  <c r="G516" i="10"/>
  <c r="H516" i="10"/>
  <c r="I516" i="10"/>
  <c r="M516" i="10"/>
  <c r="G517" i="10"/>
  <c r="H517" i="10" s="1"/>
  <c r="I517" i="10"/>
  <c r="M517" i="10"/>
  <c r="G518" i="10"/>
  <c r="H518" i="10"/>
  <c r="I518" i="10"/>
  <c r="M518" i="10"/>
  <c r="G519" i="10"/>
  <c r="H519" i="10" s="1"/>
  <c r="M519" i="10"/>
  <c r="G520" i="10"/>
  <c r="H520" i="10"/>
  <c r="I520" i="10"/>
  <c r="M520" i="10"/>
  <c r="G521" i="10"/>
  <c r="H521" i="10" s="1"/>
  <c r="I521" i="10"/>
  <c r="M521" i="10"/>
  <c r="G522" i="10"/>
  <c r="H522" i="10"/>
  <c r="I522" i="10"/>
  <c r="M522" i="10"/>
  <c r="G523" i="10"/>
  <c r="H523" i="10" s="1"/>
  <c r="I523" i="10"/>
  <c r="M523" i="10"/>
  <c r="G524" i="10"/>
  <c r="H524" i="10"/>
  <c r="I524" i="10"/>
  <c r="M524" i="10"/>
  <c r="G525" i="10"/>
  <c r="H525" i="10" s="1"/>
  <c r="M525" i="10"/>
  <c r="G526" i="10"/>
  <c r="H526" i="10"/>
  <c r="I526" i="10"/>
  <c r="M526" i="10"/>
  <c r="G527" i="10"/>
  <c r="H527" i="10" s="1"/>
  <c r="I527" i="10"/>
  <c r="M527" i="10"/>
  <c r="G528" i="10"/>
  <c r="H528" i="10"/>
  <c r="I528" i="10"/>
  <c r="M528" i="10"/>
  <c r="G529" i="10"/>
  <c r="H529" i="10" s="1"/>
  <c r="M529" i="10"/>
  <c r="G530" i="10"/>
  <c r="H530" i="10"/>
  <c r="I530" i="10"/>
  <c r="M530" i="10"/>
  <c r="G531" i="10"/>
  <c r="H531" i="10" s="1"/>
  <c r="M531" i="10"/>
  <c r="G532" i="10"/>
  <c r="H532" i="10"/>
  <c r="I532" i="10"/>
  <c r="M532" i="10"/>
  <c r="G533" i="10"/>
  <c r="H533" i="10" s="1"/>
  <c r="I533" i="10"/>
  <c r="M533" i="10"/>
  <c r="G534" i="10"/>
  <c r="H534" i="10"/>
  <c r="I534" i="10"/>
  <c r="M534" i="10"/>
  <c r="G535" i="10"/>
  <c r="H535" i="10" s="1"/>
  <c r="M535" i="10"/>
  <c r="G536" i="10"/>
  <c r="H536" i="10"/>
  <c r="I536" i="10"/>
  <c r="M536" i="10"/>
  <c r="G537" i="10"/>
  <c r="H537" i="10" s="1"/>
  <c r="I537" i="10"/>
  <c r="M537" i="10"/>
  <c r="G538" i="10"/>
  <c r="H538" i="10"/>
  <c r="I538" i="10"/>
  <c r="M538" i="10"/>
  <c r="G539" i="10"/>
  <c r="H539" i="10" s="1"/>
  <c r="I539" i="10"/>
  <c r="M539" i="10"/>
  <c r="G540" i="10"/>
  <c r="H540" i="10"/>
  <c r="I540" i="10"/>
  <c r="M540" i="10"/>
  <c r="G541" i="10"/>
  <c r="H541" i="10" s="1"/>
  <c r="M541" i="10"/>
  <c r="G542" i="10"/>
  <c r="H542" i="10"/>
  <c r="I542" i="10"/>
  <c r="M542" i="10"/>
  <c r="G543" i="10"/>
  <c r="H543" i="10" s="1"/>
  <c r="I543" i="10"/>
  <c r="M543" i="10"/>
  <c r="G544" i="10"/>
  <c r="H544" i="10"/>
  <c r="I544" i="10"/>
  <c r="M544" i="10"/>
  <c r="G545" i="10"/>
  <c r="H545" i="10" s="1"/>
  <c r="M545" i="10"/>
  <c r="G546" i="10"/>
  <c r="H546" i="10"/>
  <c r="I546" i="10"/>
  <c r="M546" i="10"/>
  <c r="G547" i="10"/>
  <c r="H547" i="10" s="1"/>
  <c r="M547" i="10"/>
  <c r="G548" i="10"/>
  <c r="H548" i="10"/>
  <c r="I548" i="10"/>
  <c r="M548" i="10"/>
  <c r="G549" i="10"/>
  <c r="H549" i="10" s="1"/>
  <c r="I549" i="10"/>
  <c r="M549" i="10"/>
  <c r="G550" i="10"/>
  <c r="H550" i="10"/>
  <c r="I550" i="10"/>
  <c r="M550" i="10"/>
  <c r="G551" i="10"/>
  <c r="H551" i="10" s="1"/>
  <c r="M551" i="10"/>
  <c r="G552" i="10"/>
  <c r="H552" i="10"/>
  <c r="I552" i="10"/>
  <c r="M552" i="10"/>
  <c r="G553" i="10"/>
  <c r="H553" i="10" s="1"/>
  <c r="I553" i="10"/>
  <c r="M553" i="10"/>
  <c r="G554" i="10"/>
  <c r="H554" i="10"/>
  <c r="I554" i="10"/>
  <c r="M554" i="10"/>
  <c r="G555" i="10"/>
  <c r="H555" i="10" s="1"/>
  <c r="I555" i="10"/>
  <c r="M555" i="10"/>
  <c r="G556" i="10"/>
  <c r="H556" i="10"/>
  <c r="I556" i="10"/>
  <c r="M556" i="10"/>
  <c r="G557" i="10"/>
  <c r="H557" i="10" s="1"/>
  <c r="M557" i="10"/>
  <c r="G558" i="10"/>
  <c r="H558" i="10"/>
  <c r="I558" i="10"/>
  <c r="M558" i="10"/>
  <c r="G559" i="10"/>
  <c r="H559" i="10" s="1"/>
  <c r="I559" i="10"/>
  <c r="M559" i="10"/>
  <c r="G560" i="10"/>
  <c r="H560" i="10"/>
  <c r="I560" i="10"/>
  <c r="M560" i="10"/>
  <c r="G561" i="10"/>
  <c r="H561" i="10" s="1"/>
  <c r="M561" i="10"/>
  <c r="G562" i="10"/>
  <c r="H562" i="10"/>
  <c r="I562" i="10"/>
  <c r="M562" i="10"/>
  <c r="G563" i="10"/>
  <c r="H563" i="10" s="1"/>
  <c r="M563" i="10"/>
  <c r="G564" i="10"/>
  <c r="H564" i="10"/>
  <c r="I564" i="10"/>
  <c r="M564" i="10"/>
  <c r="G565" i="10"/>
  <c r="H565" i="10" s="1"/>
  <c r="I565" i="10"/>
  <c r="M565" i="10"/>
  <c r="G566" i="10"/>
  <c r="H566" i="10"/>
  <c r="I566" i="10"/>
  <c r="M566" i="10"/>
  <c r="G567" i="10"/>
  <c r="H567" i="10" s="1"/>
  <c r="M567" i="10"/>
  <c r="G568" i="10"/>
  <c r="H568" i="10"/>
  <c r="I568" i="10"/>
  <c r="M568" i="10"/>
  <c r="G569" i="10"/>
  <c r="H569" i="10" s="1"/>
  <c r="I569" i="10"/>
  <c r="M569" i="10"/>
  <c r="G570" i="10"/>
  <c r="H570" i="10"/>
  <c r="I570" i="10"/>
  <c r="M570" i="10"/>
  <c r="G571" i="10"/>
  <c r="H571" i="10" s="1"/>
  <c r="I571" i="10"/>
  <c r="M571" i="10"/>
  <c r="G572" i="10"/>
  <c r="H572" i="10"/>
  <c r="I572" i="10"/>
  <c r="M572" i="10"/>
  <c r="G573" i="10"/>
  <c r="H573" i="10" s="1"/>
  <c r="M573" i="10"/>
  <c r="G574" i="10"/>
  <c r="H574" i="10"/>
  <c r="I574" i="10"/>
  <c r="M574" i="10"/>
  <c r="G575" i="10"/>
  <c r="H575" i="10" s="1"/>
  <c r="I575" i="10"/>
  <c r="M575" i="10"/>
  <c r="G576" i="10"/>
  <c r="H576" i="10"/>
  <c r="I576" i="10"/>
  <c r="M576" i="10"/>
  <c r="G577" i="10"/>
  <c r="H577" i="10" s="1"/>
  <c r="I577" i="10"/>
  <c r="M577" i="10"/>
  <c r="G578" i="10"/>
  <c r="H578" i="10"/>
  <c r="I578" i="10"/>
  <c r="M578" i="10"/>
  <c r="G579" i="10"/>
  <c r="H579" i="10" s="1"/>
  <c r="M579" i="10"/>
  <c r="G580" i="10"/>
  <c r="H580" i="10"/>
  <c r="I580" i="10"/>
  <c r="M580" i="10"/>
  <c r="G581" i="10"/>
  <c r="H581" i="10" s="1"/>
  <c r="I581" i="10"/>
  <c r="M581" i="10"/>
  <c r="G582" i="10"/>
  <c r="H582" i="10"/>
  <c r="I582" i="10"/>
  <c r="M582" i="10"/>
  <c r="G583" i="10"/>
  <c r="H583" i="10" s="1"/>
  <c r="M583" i="10"/>
  <c r="G584" i="10"/>
  <c r="H584" i="10"/>
  <c r="I584" i="10"/>
  <c r="M584" i="10"/>
  <c r="G585" i="10"/>
  <c r="H585" i="10" s="1"/>
  <c r="I585" i="10"/>
  <c r="M585" i="10"/>
  <c r="G586" i="10"/>
  <c r="H586" i="10"/>
  <c r="I586" i="10"/>
  <c r="M586" i="10"/>
  <c r="G587" i="10"/>
  <c r="H587" i="10" s="1"/>
  <c r="I587" i="10"/>
  <c r="M587" i="10"/>
  <c r="G588" i="10"/>
  <c r="H588" i="10"/>
  <c r="I588" i="10"/>
  <c r="M588" i="10"/>
  <c r="G589" i="10"/>
  <c r="H589" i="10" s="1"/>
  <c r="M589" i="10"/>
  <c r="G590" i="10"/>
  <c r="H590" i="10"/>
  <c r="I590" i="10"/>
  <c r="M590" i="10"/>
  <c r="G591" i="10"/>
  <c r="H591" i="10" s="1"/>
  <c r="I591" i="10"/>
  <c r="M591" i="10"/>
  <c r="G592" i="10"/>
  <c r="H592" i="10"/>
  <c r="I592" i="10"/>
  <c r="M592" i="10"/>
  <c r="G593" i="10"/>
  <c r="H593" i="10" s="1"/>
  <c r="I593" i="10"/>
  <c r="M593" i="10"/>
  <c r="G594" i="10"/>
  <c r="H594" i="10"/>
  <c r="I594" i="10"/>
  <c r="M594" i="10"/>
  <c r="G595" i="10"/>
  <c r="H595" i="10" s="1"/>
  <c r="M595" i="10"/>
  <c r="G596" i="10"/>
  <c r="H596" i="10"/>
  <c r="I596" i="10"/>
  <c r="M596" i="10"/>
  <c r="G597" i="10"/>
  <c r="H597" i="10" s="1"/>
  <c r="I597" i="10"/>
  <c r="M597" i="10"/>
  <c r="G598" i="10"/>
  <c r="H598" i="10"/>
  <c r="I598" i="10"/>
  <c r="M598" i="10"/>
  <c r="G599" i="10"/>
  <c r="H599" i="10" s="1"/>
  <c r="M599" i="10"/>
  <c r="G600" i="10"/>
  <c r="H600" i="10"/>
  <c r="I600" i="10"/>
  <c r="M600" i="10"/>
  <c r="G601" i="10"/>
  <c r="H601" i="10" s="1"/>
  <c r="I601" i="10"/>
  <c r="M601" i="10"/>
  <c r="G602" i="10"/>
  <c r="H602" i="10"/>
  <c r="I602" i="10"/>
  <c r="M602" i="10"/>
  <c r="G603" i="10"/>
  <c r="H603" i="10" s="1"/>
  <c r="I603" i="10"/>
  <c r="M603" i="10"/>
  <c r="G604" i="10"/>
  <c r="H604" i="10"/>
  <c r="I604" i="10"/>
  <c r="M604" i="10"/>
  <c r="G605" i="10"/>
  <c r="H605" i="10" s="1"/>
  <c r="M605" i="10"/>
  <c r="G606" i="10"/>
  <c r="H606" i="10"/>
  <c r="I606" i="10"/>
  <c r="M606" i="10"/>
  <c r="G607" i="10"/>
  <c r="H607" i="10" s="1"/>
  <c r="I607" i="10"/>
  <c r="M607" i="10"/>
  <c r="G608" i="10"/>
  <c r="H608" i="10"/>
  <c r="I608" i="10"/>
  <c r="M608" i="10"/>
  <c r="G609" i="10"/>
  <c r="H609" i="10" s="1"/>
  <c r="I609" i="10"/>
  <c r="M609" i="10"/>
  <c r="G610" i="10"/>
  <c r="H610" i="10"/>
  <c r="I610" i="10"/>
  <c r="M610" i="10"/>
  <c r="G611" i="10"/>
  <c r="H611" i="10" s="1"/>
  <c r="M611" i="10"/>
  <c r="G612" i="10"/>
  <c r="H612" i="10"/>
  <c r="I612" i="10"/>
  <c r="M612" i="10"/>
  <c r="G613" i="10"/>
  <c r="H613" i="10" s="1"/>
  <c r="I613" i="10"/>
  <c r="M613" i="10"/>
  <c r="G614" i="10"/>
  <c r="H614" i="10"/>
  <c r="I614" i="10"/>
  <c r="M614" i="10"/>
  <c r="G615" i="10"/>
  <c r="H615" i="10" s="1"/>
  <c r="M615" i="10"/>
  <c r="G616" i="10"/>
  <c r="H616" i="10"/>
  <c r="I616" i="10"/>
  <c r="M616" i="10"/>
  <c r="G617" i="10"/>
  <c r="H617" i="10" s="1"/>
  <c r="I617" i="10"/>
  <c r="M617" i="10"/>
  <c r="G618" i="10"/>
  <c r="H618" i="10"/>
  <c r="I618" i="10"/>
  <c r="M618" i="10"/>
  <c r="G619" i="10"/>
  <c r="H619" i="10" s="1"/>
  <c r="I619" i="10"/>
  <c r="M619" i="10"/>
  <c r="G620" i="10"/>
  <c r="H620" i="10"/>
  <c r="I620" i="10"/>
  <c r="M620" i="10"/>
  <c r="G621" i="10"/>
  <c r="H621" i="10" s="1"/>
  <c r="M621" i="10"/>
  <c r="G622" i="10"/>
  <c r="H622" i="10"/>
  <c r="I622" i="10"/>
  <c r="M622" i="10"/>
  <c r="G623" i="10"/>
  <c r="I623" i="10" s="1"/>
  <c r="H623" i="10"/>
  <c r="M623" i="10"/>
  <c r="G624" i="10"/>
  <c r="H624" i="10"/>
  <c r="I624" i="10"/>
  <c r="M624" i="10"/>
  <c r="G625" i="10"/>
  <c r="I625" i="10" s="1"/>
  <c r="H625" i="10"/>
  <c r="M625" i="10"/>
  <c r="G626" i="10"/>
  <c r="H626" i="10"/>
  <c r="I626" i="10"/>
  <c r="M626" i="10"/>
  <c r="G627" i="10"/>
  <c r="I627" i="10" s="1"/>
  <c r="H627" i="10"/>
  <c r="M627" i="10"/>
  <c r="G628" i="10"/>
  <c r="H628" i="10"/>
  <c r="I628" i="10"/>
  <c r="M628" i="10"/>
  <c r="G629" i="10"/>
  <c r="I629" i="10" s="1"/>
  <c r="H629" i="10"/>
  <c r="M629" i="10"/>
  <c r="G630" i="10"/>
  <c r="H630" i="10"/>
  <c r="I630" i="10"/>
  <c r="M630" i="10"/>
  <c r="G631" i="10"/>
  <c r="I631" i="10" s="1"/>
  <c r="H631" i="10"/>
  <c r="M631" i="10"/>
  <c r="G632" i="10"/>
  <c r="H632" i="10"/>
  <c r="I632" i="10"/>
  <c r="M632" i="10"/>
  <c r="G633" i="10"/>
  <c r="I633" i="10" s="1"/>
  <c r="H633" i="10"/>
  <c r="M633" i="10"/>
  <c r="G634" i="10"/>
  <c r="H634" i="10"/>
  <c r="I634" i="10"/>
  <c r="M634" i="10"/>
  <c r="G635" i="10"/>
  <c r="I635" i="10" s="1"/>
  <c r="H635" i="10"/>
  <c r="M635" i="10"/>
  <c r="G636" i="10"/>
  <c r="H636" i="10"/>
  <c r="I636" i="10"/>
  <c r="M636" i="10"/>
  <c r="G637" i="10"/>
  <c r="I637" i="10" s="1"/>
  <c r="H637" i="10"/>
  <c r="M637" i="10"/>
  <c r="G638" i="10"/>
  <c r="H638" i="10"/>
  <c r="I638" i="10"/>
  <c r="M638" i="10"/>
  <c r="G639" i="10"/>
  <c r="I639" i="10" s="1"/>
  <c r="H639" i="10"/>
  <c r="M639" i="10"/>
  <c r="G640" i="10"/>
  <c r="H640" i="10"/>
  <c r="I640" i="10"/>
  <c r="M640" i="10"/>
  <c r="G641" i="10"/>
  <c r="I641" i="10" s="1"/>
  <c r="H641" i="10"/>
  <c r="M641" i="10"/>
  <c r="G642" i="10"/>
  <c r="H642" i="10"/>
  <c r="I642" i="10"/>
  <c r="M642" i="10"/>
  <c r="G643" i="10"/>
  <c r="I643" i="10" s="1"/>
  <c r="H643" i="10"/>
  <c r="M643" i="10"/>
  <c r="G644" i="10"/>
  <c r="H644" i="10"/>
  <c r="I644" i="10"/>
  <c r="M644" i="10"/>
  <c r="G645" i="10"/>
  <c r="I645" i="10" s="1"/>
  <c r="H645" i="10"/>
  <c r="M645" i="10"/>
  <c r="G646" i="10"/>
  <c r="H646" i="10"/>
  <c r="I646" i="10"/>
  <c r="M646" i="10"/>
  <c r="G647" i="10"/>
  <c r="I647" i="10" s="1"/>
  <c r="H647" i="10"/>
  <c r="M647" i="10"/>
  <c r="G648" i="10"/>
  <c r="H648" i="10"/>
  <c r="I648" i="10"/>
  <c r="M648" i="10"/>
  <c r="G649" i="10"/>
  <c r="I649" i="10" s="1"/>
  <c r="H649" i="10"/>
  <c r="M649" i="10"/>
  <c r="G650" i="10"/>
  <c r="H650" i="10"/>
  <c r="I650" i="10"/>
  <c r="M650" i="10"/>
  <c r="G651" i="10"/>
  <c r="I651" i="10" s="1"/>
  <c r="H651" i="10"/>
  <c r="M651" i="10"/>
  <c r="G652" i="10"/>
  <c r="H652" i="10"/>
  <c r="I652" i="10"/>
  <c r="M652" i="10"/>
  <c r="G653" i="10"/>
  <c r="I653" i="10" s="1"/>
  <c r="H653" i="10"/>
  <c r="M653" i="10"/>
  <c r="G654" i="10"/>
  <c r="H654" i="10"/>
  <c r="I654" i="10"/>
  <c r="M654" i="10"/>
  <c r="G655" i="10"/>
  <c r="I655" i="10" s="1"/>
  <c r="H655" i="10"/>
  <c r="M655" i="10"/>
  <c r="G656" i="10"/>
  <c r="H656" i="10"/>
  <c r="I656" i="10"/>
  <c r="M656" i="10"/>
  <c r="G657" i="10"/>
  <c r="I657" i="10" s="1"/>
  <c r="H657" i="10"/>
  <c r="M657" i="10"/>
  <c r="G658" i="10"/>
  <c r="H658" i="10"/>
  <c r="I658" i="10"/>
  <c r="M658" i="10"/>
  <c r="G659" i="10"/>
  <c r="I659" i="10" s="1"/>
  <c r="H659" i="10"/>
  <c r="M659" i="10"/>
  <c r="G660" i="10"/>
  <c r="H660" i="10"/>
  <c r="I660" i="10"/>
  <c r="M660" i="10"/>
  <c r="G661" i="10"/>
  <c r="I661" i="10" s="1"/>
  <c r="H661" i="10"/>
  <c r="M661" i="10"/>
  <c r="G662" i="10"/>
  <c r="H662" i="10"/>
  <c r="I662" i="10"/>
  <c r="M662" i="10"/>
  <c r="G663" i="10"/>
  <c r="I663" i="10" s="1"/>
  <c r="H663" i="10"/>
  <c r="M663" i="10"/>
  <c r="G664" i="10"/>
  <c r="H664" i="10"/>
  <c r="I664" i="10"/>
  <c r="M664" i="10"/>
  <c r="G665" i="10"/>
  <c r="I665" i="10" s="1"/>
  <c r="H665" i="10"/>
  <c r="M665" i="10"/>
  <c r="G666" i="10"/>
  <c r="H666" i="10"/>
  <c r="I666" i="10"/>
  <c r="M666" i="10"/>
  <c r="G667" i="10"/>
  <c r="I667" i="10" s="1"/>
  <c r="H667" i="10"/>
  <c r="M667" i="10"/>
  <c r="G668" i="10"/>
  <c r="H668" i="10"/>
  <c r="I668" i="10"/>
  <c r="M668" i="10"/>
  <c r="G669" i="10"/>
  <c r="I669" i="10" s="1"/>
  <c r="H669" i="10"/>
  <c r="M669" i="10"/>
  <c r="G670" i="10"/>
  <c r="H670" i="10"/>
  <c r="I670" i="10"/>
  <c r="M670" i="10"/>
  <c r="G671" i="10"/>
  <c r="I671" i="10" s="1"/>
  <c r="H671" i="10"/>
  <c r="M671" i="10"/>
  <c r="G672" i="10"/>
  <c r="H672" i="10"/>
  <c r="I672" i="10"/>
  <c r="M672" i="10"/>
  <c r="G673" i="10"/>
  <c r="I673" i="10" s="1"/>
  <c r="H673" i="10"/>
  <c r="M673" i="10"/>
  <c r="G674" i="10"/>
  <c r="H674" i="10"/>
  <c r="I674" i="10"/>
  <c r="M674" i="10"/>
  <c r="G675" i="10"/>
  <c r="I675" i="10" s="1"/>
  <c r="H675" i="10"/>
  <c r="M675" i="10"/>
  <c r="G676" i="10"/>
  <c r="H676" i="10"/>
  <c r="I676" i="10"/>
  <c r="M676" i="10"/>
  <c r="G677" i="10"/>
  <c r="I677" i="10" s="1"/>
  <c r="H677" i="10"/>
  <c r="M677" i="10"/>
  <c r="G678" i="10"/>
  <c r="H678" i="10"/>
  <c r="I678" i="10"/>
  <c r="M678" i="10"/>
  <c r="G679" i="10"/>
  <c r="I679" i="10" s="1"/>
  <c r="H679" i="10"/>
  <c r="M679" i="10"/>
  <c r="G680" i="10"/>
  <c r="H680" i="10"/>
  <c r="I680" i="10"/>
  <c r="M680" i="10"/>
  <c r="G681" i="10"/>
  <c r="I681" i="10" s="1"/>
  <c r="H681" i="10"/>
  <c r="M681" i="10"/>
  <c r="G682" i="10"/>
  <c r="H682" i="10"/>
  <c r="I682" i="10"/>
  <c r="M682" i="10"/>
  <c r="G683" i="10"/>
  <c r="I683" i="10" s="1"/>
  <c r="H683" i="10"/>
  <c r="M683" i="10"/>
  <c r="G684" i="10"/>
  <c r="H684" i="10"/>
  <c r="I684" i="10"/>
  <c r="M684" i="10"/>
  <c r="G685" i="10"/>
  <c r="I685" i="10" s="1"/>
  <c r="H685" i="10"/>
  <c r="M685" i="10"/>
  <c r="G686" i="10"/>
  <c r="H686" i="10"/>
  <c r="I686" i="10"/>
  <c r="M686" i="10"/>
  <c r="G687" i="10"/>
  <c r="I687" i="10" s="1"/>
  <c r="H687" i="10"/>
  <c r="M687" i="10"/>
  <c r="G688" i="10"/>
  <c r="H688" i="10"/>
  <c r="I688" i="10"/>
  <c r="M688" i="10"/>
  <c r="G689" i="10"/>
  <c r="I689" i="10" s="1"/>
  <c r="H689" i="10"/>
  <c r="M689" i="10"/>
  <c r="G690" i="10"/>
  <c r="H690" i="10"/>
  <c r="I690" i="10"/>
  <c r="M690" i="10"/>
  <c r="G691" i="10"/>
  <c r="I691" i="10" s="1"/>
  <c r="H691" i="10"/>
  <c r="M691" i="10"/>
  <c r="G692" i="10"/>
  <c r="H692" i="10"/>
  <c r="I692" i="10"/>
  <c r="M692" i="10"/>
  <c r="G693" i="10"/>
  <c r="I693" i="10" s="1"/>
  <c r="H693" i="10"/>
  <c r="M693" i="10"/>
  <c r="G694" i="10"/>
  <c r="H694" i="10"/>
  <c r="I694" i="10"/>
  <c r="M694" i="10"/>
  <c r="G695" i="10"/>
  <c r="I695" i="10" s="1"/>
  <c r="H695" i="10"/>
  <c r="M695" i="10"/>
  <c r="G696" i="10"/>
  <c r="H696" i="10"/>
  <c r="I696" i="10"/>
  <c r="M696" i="10"/>
  <c r="G697" i="10"/>
  <c r="I697" i="10" s="1"/>
  <c r="H697" i="10"/>
  <c r="M697" i="10"/>
  <c r="G698" i="10"/>
  <c r="H698" i="10"/>
  <c r="I698" i="10"/>
  <c r="M698" i="10"/>
  <c r="G699" i="10"/>
  <c r="I699" i="10" s="1"/>
  <c r="H699" i="10"/>
  <c r="M699" i="10"/>
  <c r="G700" i="10"/>
  <c r="H700" i="10"/>
  <c r="I700" i="10"/>
  <c r="M700" i="10"/>
  <c r="G701" i="10"/>
  <c r="I701" i="10" s="1"/>
  <c r="H701" i="10"/>
  <c r="M701" i="10"/>
  <c r="G702" i="10"/>
  <c r="H702" i="10"/>
  <c r="I702" i="10"/>
  <c r="M702" i="10"/>
  <c r="G703" i="10"/>
  <c r="I703" i="10" s="1"/>
  <c r="H703" i="10"/>
  <c r="M703" i="10"/>
  <c r="G704" i="10"/>
  <c r="H704" i="10"/>
  <c r="I704" i="10"/>
  <c r="M704" i="10"/>
  <c r="G705" i="10"/>
  <c r="I705" i="10" s="1"/>
  <c r="H705" i="10"/>
  <c r="M705" i="10"/>
  <c r="G706" i="10"/>
  <c r="H706" i="10"/>
  <c r="I706" i="10"/>
  <c r="M706" i="10"/>
  <c r="G707" i="10"/>
  <c r="I707" i="10" s="1"/>
  <c r="H707" i="10"/>
  <c r="M707" i="10"/>
  <c r="G708" i="10"/>
  <c r="H708" i="10"/>
  <c r="I708" i="10"/>
  <c r="M708" i="10"/>
  <c r="G709" i="10"/>
  <c r="I709" i="10" s="1"/>
  <c r="H709" i="10"/>
  <c r="M709" i="10"/>
  <c r="G710" i="10"/>
  <c r="H710" i="10"/>
  <c r="I710" i="10"/>
  <c r="M710" i="10"/>
  <c r="G711" i="10"/>
  <c r="I711" i="10" s="1"/>
  <c r="H711" i="10"/>
  <c r="M711" i="10"/>
  <c r="G712" i="10"/>
  <c r="H712" i="10"/>
  <c r="I712" i="10"/>
  <c r="M712" i="10"/>
  <c r="G713" i="10"/>
  <c r="I713" i="10" s="1"/>
  <c r="H713" i="10"/>
  <c r="M713" i="10"/>
  <c r="G714" i="10"/>
  <c r="H714" i="10"/>
  <c r="I714" i="10"/>
  <c r="M714" i="10"/>
  <c r="G715" i="10"/>
  <c r="I715" i="10" s="1"/>
  <c r="H715" i="10"/>
  <c r="M715" i="10"/>
  <c r="G716" i="10"/>
  <c r="H716" i="10"/>
  <c r="I716" i="10"/>
  <c r="M716" i="10"/>
  <c r="G717" i="10"/>
  <c r="I717" i="10" s="1"/>
  <c r="H717" i="10"/>
  <c r="M717" i="10"/>
  <c r="G718" i="10"/>
  <c r="H718" i="10"/>
  <c r="I718" i="10"/>
  <c r="M718" i="10"/>
  <c r="G719" i="10"/>
  <c r="I719" i="10" s="1"/>
  <c r="H719" i="10"/>
  <c r="M719" i="10"/>
  <c r="G720" i="10"/>
  <c r="H720" i="10"/>
  <c r="I720" i="10"/>
  <c r="M720" i="10"/>
  <c r="G721" i="10"/>
  <c r="I721" i="10" s="1"/>
  <c r="H721" i="10"/>
  <c r="M721" i="10"/>
  <c r="G722" i="10"/>
  <c r="H722" i="10"/>
  <c r="I722" i="10"/>
  <c r="M722" i="10"/>
  <c r="G723" i="10"/>
  <c r="I723" i="10" s="1"/>
  <c r="H723" i="10"/>
  <c r="M723" i="10"/>
  <c r="G724" i="10"/>
  <c r="H724" i="10"/>
  <c r="I724" i="10"/>
  <c r="M724" i="10"/>
  <c r="G725" i="10"/>
  <c r="I725" i="10" s="1"/>
  <c r="H725" i="10"/>
  <c r="M725" i="10"/>
  <c r="G726" i="10"/>
  <c r="H726" i="10"/>
  <c r="I726" i="10"/>
  <c r="M726" i="10"/>
  <c r="G727" i="10"/>
  <c r="I727" i="10" s="1"/>
  <c r="H727" i="10"/>
  <c r="M727" i="10"/>
  <c r="G728" i="10"/>
  <c r="H728" i="10"/>
  <c r="I728" i="10"/>
  <c r="M728" i="10"/>
  <c r="G729" i="10"/>
  <c r="I729" i="10" s="1"/>
  <c r="H729" i="10"/>
  <c r="M729" i="10"/>
  <c r="G730" i="10"/>
  <c r="H730" i="10"/>
  <c r="I730" i="10"/>
  <c r="M730" i="10"/>
  <c r="G731" i="10"/>
  <c r="I731" i="10" s="1"/>
  <c r="H731" i="10"/>
  <c r="M731" i="10"/>
  <c r="G732" i="10"/>
  <c r="H732" i="10"/>
  <c r="I732" i="10"/>
  <c r="M732" i="10"/>
  <c r="G733" i="10"/>
  <c r="I733" i="10" s="1"/>
  <c r="H733" i="10"/>
  <c r="M733" i="10"/>
  <c r="G734" i="10"/>
  <c r="H734" i="10"/>
  <c r="I734" i="10"/>
  <c r="M734" i="10"/>
  <c r="G735" i="10"/>
  <c r="I735" i="10" s="1"/>
  <c r="H735" i="10"/>
  <c r="M735" i="10"/>
  <c r="G736" i="10"/>
  <c r="H736" i="10"/>
  <c r="I736" i="10"/>
  <c r="M736" i="10"/>
  <c r="G737" i="10"/>
  <c r="I737" i="10" s="1"/>
  <c r="H737" i="10"/>
  <c r="M737" i="10"/>
  <c r="G738" i="10"/>
  <c r="H738" i="10"/>
  <c r="I738" i="10"/>
  <c r="M738" i="10"/>
  <c r="G739" i="10"/>
  <c r="I739" i="10" s="1"/>
  <c r="H739" i="10"/>
  <c r="M739" i="10"/>
  <c r="G740" i="10"/>
  <c r="H740" i="10"/>
  <c r="I740" i="10"/>
  <c r="M740" i="10"/>
  <c r="G741" i="10"/>
  <c r="I741" i="10" s="1"/>
  <c r="H741" i="10"/>
  <c r="M741" i="10"/>
  <c r="G742" i="10"/>
  <c r="H742" i="10"/>
  <c r="I742" i="10"/>
  <c r="M742" i="10"/>
  <c r="G743" i="10"/>
  <c r="I743" i="10" s="1"/>
  <c r="H743" i="10"/>
  <c r="M743" i="10"/>
  <c r="F2" i="9"/>
  <c r="F3" i="9"/>
  <c r="F4" i="9"/>
  <c r="F5" i="9"/>
  <c r="F6" i="9"/>
  <c r="F7" i="9"/>
  <c r="F9" i="9"/>
  <c r="F10" i="9"/>
  <c r="F11" i="9"/>
  <c r="F12" i="9"/>
  <c r="F13" i="9"/>
  <c r="F14" i="9"/>
  <c r="F15" i="9"/>
  <c r="F16" i="9"/>
  <c r="F17" i="9"/>
  <c r="F18" i="9"/>
  <c r="F19" i="9"/>
  <c r="F20" i="9"/>
  <c r="F21" i="9"/>
  <c r="F22" i="9"/>
  <c r="F23" i="9"/>
  <c r="F24" i="9"/>
  <c r="F25" i="9"/>
  <c r="F27" i="9"/>
  <c r="F28" i="9"/>
  <c r="F29" i="9"/>
  <c r="F30" i="9"/>
  <c r="F31" i="9"/>
  <c r="F32" i="9"/>
  <c r="F33" i="9"/>
  <c r="F34" i="9"/>
  <c r="F35" i="9"/>
  <c r="F36" i="9"/>
  <c r="F38" i="9"/>
  <c r="F39" i="9"/>
  <c r="F40" i="9"/>
  <c r="F41"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4" i="9"/>
  <c r="F105" i="9"/>
  <c r="F106" i="9"/>
  <c r="F107" i="9"/>
  <c r="F108" i="9"/>
  <c r="F109" i="9"/>
  <c r="F110" i="9"/>
  <c r="F111" i="9"/>
  <c r="F113" i="9"/>
  <c r="F114" i="9"/>
  <c r="F115" i="9"/>
  <c r="F116" i="9"/>
  <c r="F117" i="9"/>
  <c r="F118" i="9"/>
  <c r="F119" i="9"/>
  <c r="F120" i="9"/>
  <c r="F121" i="9"/>
  <c r="F123" i="9"/>
  <c r="F124" i="9"/>
  <c r="F125" i="9"/>
  <c r="F126" i="9"/>
  <c r="F127" i="9"/>
  <c r="F128" i="9"/>
  <c r="F129" i="9"/>
  <c r="F130" i="9"/>
  <c r="F131" i="9"/>
  <c r="F132" i="9"/>
  <c r="F133" i="9"/>
  <c r="F134" i="9"/>
  <c r="F135" i="9"/>
  <c r="F136" i="9"/>
  <c r="F137" i="9"/>
  <c r="F138" i="9"/>
  <c r="F139" i="9"/>
  <c r="F140" i="9"/>
  <c r="F141" i="9"/>
  <c r="F143" i="9"/>
  <c r="F144" i="9"/>
  <c r="F145" i="9"/>
  <c r="F146" i="9"/>
  <c r="F147" i="9"/>
  <c r="F148"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90" i="9"/>
  <c r="F191" i="9"/>
  <c r="F192" i="9"/>
  <c r="F193" i="9"/>
  <c r="F194" i="9"/>
  <c r="F195" i="9"/>
  <c r="F196" i="9"/>
  <c r="F197"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4" i="9"/>
  <c r="F355" i="9"/>
  <c r="F356" i="9"/>
  <c r="F357" i="9"/>
  <c r="F358" i="9"/>
  <c r="F359" i="9"/>
  <c r="F360"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8" i="9"/>
  <c r="F419" i="9"/>
  <c r="F420" i="9"/>
  <c r="F421" i="9"/>
  <c r="F422" i="9"/>
  <c r="F423" i="9"/>
  <c r="F424" i="9"/>
  <c r="F425" i="9"/>
  <c r="F426" i="9"/>
  <c r="F427" i="9"/>
  <c r="F428" i="9"/>
  <c r="F429" i="9"/>
  <c r="F430" i="9"/>
  <c r="F431" i="9"/>
  <c r="F432" i="9"/>
  <c r="F433" i="9"/>
  <c r="F434" i="9"/>
  <c r="F435" i="9"/>
  <c r="F436" i="9"/>
  <c r="F437" i="9"/>
  <c r="F438" i="9"/>
  <c r="F440" i="9"/>
  <c r="F441" i="9"/>
  <c r="F442" i="9"/>
  <c r="F443"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90" i="9"/>
  <c r="F491" i="9"/>
  <c r="F492" i="9"/>
  <c r="F493" i="9"/>
  <c r="F494" i="9"/>
  <c r="F495" i="9"/>
  <c r="F496" i="9"/>
  <c r="F497" i="9"/>
  <c r="F498" i="9"/>
  <c r="F499" i="9"/>
  <c r="F500" i="9"/>
  <c r="F501" i="9"/>
  <c r="F502" i="9"/>
  <c r="F503" i="9"/>
  <c r="F504" i="9"/>
  <c r="F505"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3" i="9"/>
  <c r="F774" i="9"/>
  <c r="F775" i="9"/>
  <c r="F776" i="9"/>
  <c r="F777" i="9"/>
  <c r="F779" i="9"/>
  <c r="F780" i="9"/>
  <c r="F781" i="9"/>
  <c r="F782" i="9"/>
  <c r="F783" i="9"/>
  <c r="F784" i="9"/>
  <c r="F784" i="8"/>
  <c r="F783" i="8"/>
  <c r="F782" i="8"/>
  <c r="F781" i="8"/>
  <c r="F780" i="8"/>
  <c r="F779" i="8"/>
  <c r="F777" i="8"/>
  <c r="F776" i="8"/>
  <c r="F775" i="8"/>
  <c r="F774" i="8"/>
  <c r="F773" i="8"/>
  <c r="F771" i="8"/>
  <c r="F770" i="8"/>
  <c r="F769" i="8"/>
  <c r="F768" i="8"/>
  <c r="F767" i="8"/>
  <c r="F766" i="8"/>
  <c r="F765" i="8"/>
  <c r="F764" i="8"/>
  <c r="F763" i="8"/>
  <c r="F762" i="8"/>
  <c r="F761" i="8"/>
  <c r="F760" i="8"/>
  <c r="F759" i="8"/>
  <c r="F758" i="8"/>
  <c r="F757" i="8"/>
  <c r="F756" i="8"/>
  <c r="F755" i="8"/>
  <c r="F754" i="8"/>
  <c r="F753" i="8"/>
  <c r="F752" i="8"/>
  <c r="F751" i="8"/>
  <c r="F750" i="8"/>
  <c r="F749" i="8"/>
  <c r="F748" i="8"/>
  <c r="F747" i="8"/>
  <c r="F746" i="8"/>
  <c r="F745" i="8"/>
  <c r="F744" i="8"/>
  <c r="F743" i="8"/>
  <c r="F742" i="8"/>
  <c r="F741" i="8"/>
  <c r="F740" i="8"/>
  <c r="F739" i="8"/>
  <c r="F738" i="8"/>
  <c r="F737" i="8"/>
  <c r="F736" i="8"/>
  <c r="F735" i="8"/>
  <c r="F734" i="8"/>
  <c r="F733" i="8"/>
  <c r="F732" i="8"/>
  <c r="F731" i="8"/>
  <c r="F730" i="8"/>
  <c r="F729" i="8"/>
  <c r="F728" i="8"/>
  <c r="F727" i="8"/>
  <c r="F726" i="8"/>
  <c r="F725" i="8"/>
  <c r="F724" i="8"/>
  <c r="F723" i="8"/>
  <c r="F722" i="8"/>
  <c r="F721" i="8"/>
  <c r="F720" i="8"/>
  <c r="F719" i="8"/>
  <c r="F718" i="8"/>
  <c r="F717" i="8"/>
  <c r="F716" i="8"/>
  <c r="F715" i="8"/>
  <c r="F714" i="8"/>
  <c r="F713" i="8"/>
  <c r="F712" i="8"/>
  <c r="F711" i="8"/>
  <c r="F710" i="8"/>
  <c r="F709" i="8"/>
  <c r="F708" i="8"/>
  <c r="F707" i="8"/>
  <c r="F706" i="8"/>
  <c r="F705" i="8"/>
  <c r="F704" i="8"/>
  <c r="F703" i="8"/>
  <c r="F702" i="8"/>
  <c r="F701" i="8"/>
  <c r="F700" i="8"/>
  <c r="F699" i="8"/>
  <c r="F698" i="8"/>
  <c r="F697" i="8"/>
  <c r="F696" i="8"/>
  <c r="F695" i="8"/>
  <c r="F694" i="8"/>
  <c r="F693" i="8"/>
  <c r="F692" i="8"/>
  <c r="F691" i="8"/>
  <c r="F690" i="8"/>
  <c r="F689" i="8"/>
  <c r="F688" i="8"/>
  <c r="F687" i="8"/>
  <c r="F686" i="8"/>
  <c r="F685" i="8"/>
  <c r="F684" i="8"/>
  <c r="F683" i="8"/>
  <c r="F682" i="8"/>
  <c r="F681" i="8"/>
  <c r="F680" i="8"/>
  <c r="F679" i="8"/>
  <c r="F678" i="8"/>
  <c r="F677" i="8"/>
  <c r="F676" i="8"/>
  <c r="F674" i="8"/>
  <c r="F673" i="8"/>
  <c r="F672" i="8"/>
  <c r="F671" i="8"/>
  <c r="F670" i="8"/>
  <c r="F669" i="8"/>
  <c r="F668" i="8"/>
  <c r="F667" i="8"/>
  <c r="F666" i="8"/>
  <c r="F665" i="8"/>
  <c r="F664" i="8"/>
  <c r="F663" i="8"/>
  <c r="F662" i="8"/>
  <c r="F661" i="8"/>
  <c r="F660" i="8"/>
  <c r="F659" i="8"/>
  <c r="F658" i="8"/>
  <c r="F657" i="8"/>
  <c r="F656" i="8"/>
  <c r="F655" i="8"/>
  <c r="F654" i="8"/>
  <c r="F653" i="8"/>
  <c r="F652" i="8"/>
  <c r="F651" i="8"/>
  <c r="F650" i="8"/>
  <c r="F649" i="8"/>
  <c r="F648" i="8"/>
  <c r="F647" i="8"/>
  <c r="F646" i="8"/>
  <c r="F645" i="8"/>
  <c r="F644" i="8"/>
  <c r="F643" i="8"/>
  <c r="F642" i="8"/>
  <c r="F641" i="8"/>
  <c r="F640" i="8"/>
  <c r="F639" i="8"/>
  <c r="F638" i="8"/>
  <c r="F637" i="8"/>
  <c r="F636" i="8"/>
  <c r="F635" i="8"/>
  <c r="F634" i="8"/>
  <c r="F633" i="8"/>
  <c r="F632" i="8"/>
  <c r="F631" i="8"/>
  <c r="F630" i="8"/>
  <c r="F629" i="8"/>
  <c r="F628" i="8"/>
  <c r="F627" i="8"/>
  <c r="F626" i="8"/>
  <c r="F625" i="8"/>
  <c r="F624" i="8"/>
  <c r="F623" i="8"/>
  <c r="F622" i="8"/>
  <c r="F621" i="8"/>
  <c r="F620" i="8"/>
  <c r="F619" i="8"/>
  <c r="F618" i="8"/>
  <c r="F617" i="8"/>
  <c r="F616" i="8"/>
  <c r="F615" i="8"/>
  <c r="F614" i="8"/>
  <c r="F613" i="8"/>
  <c r="F612" i="8"/>
  <c r="F611" i="8"/>
  <c r="F610" i="8"/>
  <c r="F609" i="8"/>
  <c r="F608" i="8"/>
  <c r="F607" i="8"/>
  <c r="F606" i="8"/>
  <c r="F605" i="8"/>
  <c r="F604" i="8"/>
  <c r="F603" i="8"/>
  <c r="F602" i="8"/>
  <c r="F601" i="8"/>
  <c r="F600" i="8"/>
  <c r="F599" i="8"/>
  <c r="F597" i="8"/>
  <c r="F596" i="8"/>
  <c r="F595" i="8"/>
  <c r="F594" i="8"/>
  <c r="F593" i="8"/>
  <c r="F592" i="8"/>
  <c r="F591" i="8"/>
  <c r="F590" i="8"/>
  <c r="F589" i="8"/>
  <c r="F588" i="8"/>
  <c r="F587" i="8"/>
  <c r="F586" i="8"/>
  <c r="F585" i="8"/>
  <c r="F584" i="8"/>
  <c r="F583" i="8"/>
  <c r="F582" i="8"/>
  <c r="F581" i="8"/>
  <c r="F580" i="8"/>
  <c r="F579" i="8"/>
  <c r="F578" i="8"/>
  <c r="F577" i="8"/>
  <c r="F576" i="8"/>
  <c r="F575" i="8"/>
  <c r="F574" i="8"/>
  <c r="F573" i="8"/>
  <c r="F572" i="8"/>
  <c r="F571" i="8"/>
  <c r="F570" i="8"/>
  <c r="F569" i="8"/>
  <c r="F568" i="8"/>
  <c r="F567" i="8"/>
  <c r="F566" i="8"/>
  <c r="F565" i="8"/>
  <c r="F564" i="8"/>
  <c r="F563" i="8"/>
  <c r="F562" i="8"/>
  <c r="F561" i="8"/>
  <c r="F560" i="8"/>
  <c r="F559" i="8"/>
  <c r="F558" i="8"/>
  <c r="F557" i="8"/>
  <c r="F556" i="8"/>
  <c r="F555" i="8"/>
  <c r="F554" i="8"/>
  <c r="F553" i="8"/>
  <c r="F552" i="8"/>
  <c r="F551" i="8"/>
  <c r="F550" i="8"/>
  <c r="F549" i="8"/>
  <c r="F548" i="8"/>
  <c r="F547" i="8"/>
  <c r="F546" i="8"/>
  <c r="F545" i="8"/>
  <c r="F544" i="8"/>
  <c r="F543" i="8"/>
  <c r="F542" i="8"/>
  <c r="F541" i="8"/>
  <c r="F540" i="8"/>
  <c r="F539" i="8"/>
  <c r="F538" i="8"/>
  <c r="F537" i="8"/>
  <c r="F536" i="8"/>
  <c r="F535" i="8"/>
  <c r="F534" i="8"/>
  <c r="F533" i="8"/>
  <c r="F532" i="8"/>
  <c r="F531" i="8"/>
  <c r="F530" i="8"/>
  <c r="F529" i="8"/>
  <c r="F528" i="8"/>
  <c r="F527" i="8"/>
  <c r="F526" i="8"/>
  <c r="F525" i="8"/>
  <c r="F524" i="8"/>
  <c r="F523" i="8"/>
  <c r="F522" i="8"/>
  <c r="F521" i="8"/>
  <c r="F520" i="8"/>
  <c r="F519" i="8"/>
  <c r="F518" i="8"/>
  <c r="F517" i="8"/>
  <c r="F516" i="8"/>
  <c r="F515" i="8"/>
  <c r="F514" i="8"/>
  <c r="F513" i="8"/>
  <c r="F512" i="8"/>
  <c r="F511" i="8"/>
  <c r="F510" i="8"/>
  <c r="F509" i="8"/>
  <c r="F508" i="8"/>
  <c r="F507" i="8"/>
  <c r="F505" i="8"/>
  <c r="F504" i="8"/>
  <c r="F503" i="8"/>
  <c r="F502" i="8"/>
  <c r="F501" i="8"/>
  <c r="F500" i="8"/>
  <c r="F499" i="8"/>
  <c r="F498" i="8"/>
  <c r="F497" i="8"/>
  <c r="F496" i="8"/>
  <c r="F495" i="8"/>
  <c r="F494" i="8"/>
  <c r="F493" i="8"/>
  <c r="F492" i="8"/>
  <c r="F491" i="8"/>
  <c r="F490" i="8"/>
  <c r="F488" i="8"/>
  <c r="F487" i="8"/>
  <c r="F486" i="8"/>
  <c r="F485" i="8"/>
  <c r="F484" i="8"/>
  <c r="F483" i="8"/>
  <c r="F482" i="8"/>
  <c r="F481" i="8"/>
  <c r="F480" i="8"/>
  <c r="F479" i="8"/>
  <c r="F478" i="8"/>
  <c r="F477" i="8"/>
  <c r="F476" i="8"/>
  <c r="F475" i="8"/>
  <c r="F474" i="8"/>
  <c r="F473" i="8"/>
  <c r="F472" i="8"/>
  <c r="F471" i="8"/>
  <c r="F470" i="8"/>
  <c r="F469" i="8"/>
  <c r="F468" i="8"/>
  <c r="F467" i="8"/>
  <c r="F466" i="8"/>
  <c r="F465" i="8"/>
  <c r="F464" i="8"/>
  <c r="F463" i="8"/>
  <c r="F462" i="8"/>
  <c r="F461" i="8"/>
  <c r="F460" i="8"/>
  <c r="F459" i="8"/>
  <c r="F458" i="8"/>
  <c r="F457" i="8"/>
  <c r="F456" i="8"/>
  <c r="F455" i="8"/>
  <c r="F454" i="8"/>
  <c r="F453" i="8"/>
  <c r="F452" i="8"/>
  <c r="F451" i="8"/>
  <c r="F450" i="8"/>
  <c r="F449" i="8"/>
  <c r="F448" i="8"/>
  <c r="F447" i="8"/>
  <c r="F446" i="8"/>
  <c r="F445" i="8"/>
  <c r="F443" i="8"/>
  <c r="F442" i="8"/>
  <c r="F441" i="8"/>
  <c r="F440" i="8"/>
  <c r="F438" i="8"/>
  <c r="F437" i="8"/>
  <c r="F436" i="8"/>
  <c r="F435" i="8"/>
  <c r="F434" i="8"/>
  <c r="F433" i="8"/>
  <c r="F432" i="8"/>
  <c r="F431" i="8"/>
  <c r="F430" i="8"/>
  <c r="F429" i="8"/>
  <c r="F428" i="8"/>
  <c r="F427" i="8"/>
  <c r="F426" i="8"/>
  <c r="F425" i="8"/>
  <c r="F424" i="8"/>
  <c r="F423" i="8"/>
  <c r="F422" i="8"/>
  <c r="F421" i="8"/>
  <c r="F420" i="8"/>
  <c r="F419" i="8"/>
  <c r="F418" i="8"/>
  <c r="F416" i="8"/>
  <c r="F415" i="8"/>
  <c r="F414" i="8"/>
  <c r="F413" i="8"/>
  <c r="F412" i="8"/>
  <c r="F411" i="8"/>
  <c r="F410" i="8"/>
  <c r="F409" i="8"/>
  <c r="F408" i="8"/>
  <c r="F407" i="8"/>
  <c r="F406" i="8"/>
  <c r="F405" i="8"/>
  <c r="F404" i="8"/>
  <c r="F403" i="8"/>
  <c r="F402" i="8"/>
  <c r="F401" i="8"/>
  <c r="F400" i="8"/>
  <c r="F399" i="8"/>
  <c r="F398" i="8"/>
  <c r="F397" i="8"/>
  <c r="F396" i="8"/>
  <c r="F395" i="8"/>
  <c r="F394" i="8"/>
  <c r="F393" i="8"/>
  <c r="F392" i="8"/>
  <c r="F391" i="8"/>
  <c r="F390" i="8"/>
  <c r="F389" i="8"/>
  <c r="F388" i="8"/>
  <c r="F387" i="8"/>
  <c r="F386" i="8"/>
  <c r="F385" i="8"/>
  <c r="F384" i="8"/>
  <c r="F383" i="8"/>
  <c r="F382" i="8"/>
  <c r="F381" i="8"/>
  <c r="F380" i="8"/>
  <c r="F379" i="8"/>
  <c r="F378" i="8"/>
  <c r="F377" i="8"/>
  <c r="F376" i="8"/>
  <c r="F375" i="8"/>
  <c r="F374" i="8"/>
  <c r="F373" i="8"/>
  <c r="F372" i="8"/>
  <c r="F371" i="8"/>
  <c r="F370" i="8"/>
  <c r="F369" i="8"/>
  <c r="F368" i="8"/>
  <c r="F367" i="8"/>
  <c r="F366" i="8"/>
  <c r="F365" i="8"/>
  <c r="F364" i="8"/>
  <c r="F363" i="8"/>
  <c r="F362" i="8"/>
  <c r="F360" i="8"/>
  <c r="F359" i="8"/>
  <c r="F358" i="8"/>
  <c r="F357" i="8"/>
  <c r="F356" i="8"/>
  <c r="F355" i="8"/>
  <c r="F354" i="8"/>
  <c r="F352" i="8"/>
  <c r="F351" i="8"/>
  <c r="F350" i="8"/>
  <c r="F349" i="8"/>
  <c r="F348" i="8"/>
  <c r="F347" i="8"/>
  <c r="F346" i="8"/>
  <c r="F345" i="8"/>
  <c r="F344" i="8"/>
  <c r="F343" i="8"/>
  <c r="F342" i="8"/>
  <c r="F341" i="8"/>
  <c r="F340" i="8"/>
  <c r="F339" i="8"/>
  <c r="F338" i="8"/>
  <c r="F337" i="8"/>
  <c r="F336" i="8"/>
  <c r="F335" i="8"/>
  <c r="F334" i="8"/>
  <c r="F333" i="8"/>
  <c r="F332" i="8"/>
  <c r="F331" i="8"/>
  <c r="F330" i="8"/>
  <c r="F329" i="8"/>
  <c r="F328" i="8"/>
  <c r="F327" i="8"/>
  <c r="F326" i="8"/>
  <c r="F325" i="8"/>
  <c r="F324" i="8"/>
  <c r="F323" i="8"/>
  <c r="F322" i="8"/>
  <c r="F321" i="8"/>
  <c r="F320" i="8"/>
  <c r="F319" i="8"/>
  <c r="F318" i="8"/>
  <c r="F317" i="8"/>
  <c r="F316" i="8"/>
  <c r="F315" i="8"/>
  <c r="F314" i="8"/>
  <c r="F313" i="8"/>
  <c r="F312" i="8"/>
  <c r="F311" i="8"/>
  <c r="F310" i="8"/>
  <c r="F309" i="8"/>
  <c r="F308" i="8"/>
  <c r="F307" i="8"/>
  <c r="F306" i="8"/>
  <c r="F305" i="8"/>
  <c r="F304" i="8"/>
  <c r="F303" i="8"/>
  <c r="F302" i="8"/>
  <c r="F301" i="8"/>
  <c r="F300" i="8"/>
  <c r="F299" i="8"/>
  <c r="F298" i="8"/>
  <c r="F297" i="8"/>
  <c r="F296" i="8"/>
  <c r="F295" i="8"/>
  <c r="F294" i="8"/>
  <c r="F293" i="8"/>
  <c r="F292" i="8"/>
  <c r="F291" i="8"/>
  <c r="F290" i="8"/>
  <c r="F289" i="8"/>
  <c r="F288" i="8"/>
  <c r="F287" i="8"/>
  <c r="F286" i="8"/>
  <c r="F285" i="8"/>
  <c r="F284" i="8"/>
  <c r="F283" i="8"/>
  <c r="F282" i="8"/>
  <c r="F281" i="8"/>
  <c r="F280" i="8"/>
  <c r="F279" i="8"/>
  <c r="F278" i="8"/>
  <c r="F277" i="8"/>
  <c r="F276" i="8"/>
  <c r="F275" i="8"/>
  <c r="F274" i="8"/>
  <c r="F273" i="8"/>
  <c r="F272" i="8"/>
  <c r="F271" i="8"/>
  <c r="F270" i="8"/>
  <c r="F269" i="8"/>
  <c r="F268" i="8"/>
  <c r="F267" i="8"/>
  <c r="F266" i="8"/>
  <c r="F265" i="8"/>
  <c r="F264" i="8"/>
  <c r="F263" i="8"/>
  <c r="F262" i="8"/>
  <c r="F261" i="8"/>
  <c r="F260" i="8"/>
  <c r="F259" i="8"/>
  <c r="F258" i="8"/>
  <c r="F257" i="8"/>
  <c r="F256" i="8"/>
  <c r="F255" i="8"/>
  <c r="F254" i="8"/>
  <c r="F253" i="8"/>
  <c r="F252" i="8"/>
  <c r="F251" i="8"/>
  <c r="F250" i="8"/>
  <c r="F249" i="8"/>
  <c r="F248" i="8"/>
  <c r="F247" i="8"/>
  <c r="F246" i="8"/>
  <c r="F245" i="8"/>
  <c r="F244" i="8"/>
  <c r="F243" i="8"/>
  <c r="F242" i="8"/>
  <c r="F241" i="8"/>
  <c r="F240" i="8"/>
  <c r="F239" i="8"/>
  <c r="F238" i="8"/>
  <c r="F237" i="8"/>
  <c r="F236" i="8"/>
  <c r="F235" i="8"/>
  <c r="F234" i="8"/>
  <c r="F233" i="8"/>
  <c r="F232" i="8"/>
  <c r="F231" i="8"/>
  <c r="F230" i="8"/>
  <c r="F229" i="8"/>
  <c r="F228" i="8"/>
  <c r="F227" i="8"/>
  <c r="F226" i="8"/>
  <c r="F225" i="8"/>
  <c r="F224" i="8"/>
  <c r="F223" i="8"/>
  <c r="F222" i="8"/>
  <c r="F221" i="8"/>
  <c r="F220" i="8"/>
  <c r="F219" i="8"/>
  <c r="F218" i="8"/>
  <c r="F217" i="8"/>
  <c r="F216" i="8"/>
  <c r="F215" i="8"/>
  <c r="F214" i="8"/>
  <c r="F213" i="8"/>
  <c r="F212" i="8"/>
  <c r="F211" i="8"/>
  <c r="F210" i="8"/>
  <c r="F209" i="8"/>
  <c r="F208" i="8"/>
  <c r="F207" i="8"/>
  <c r="F206" i="8"/>
  <c r="F205" i="8"/>
  <c r="F204" i="8"/>
  <c r="F203" i="8"/>
  <c r="F202" i="8"/>
  <c r="F201" i="8"/>
  <c r="F200" i="8"/>
  <c r="F199" i="8"/>
  <c r="F197" i="8"/>
  <c r="F196" i="8"/>
  <c r="F195" i="8"/>
  <c r="F194" i="8"/>
  <c r="F193" i="8"/>
  <c r="F192" i="8"/>
  <c r="F191" i="8"/>
  <c r="F190" i="8"/>
  <c r="F188" i="8"/>
  <c r="F187" i="8"/>
  <c r="F186" i="8"/>
  <c r="F185" i="8"/>
  <c r="F184" i="8"/>
  <c r="F183" i="8"/>
  <c r="F182" i="8"/>
  <c r="F181" i="8"/>
  <c r="F180" i="8"/>
  <c r="F179" i="8"/>
  <c r="F178" i="8"/>
  <c r="F177" i="8"/>
  <c r="F176" i="8"/>
  <c r="F175" i="8"/>
  <c r="F174" i="8"/>
  <c r="F173" i="8"/>
  <c r="F172" i="8"/>
  <c r="F171" i="8"/>
  <c r="F170" i="8"/>
  <c r="F169" i="8"/>
  <c r="F168" i="8"/>
  <c r="F167" i="8"/>
  <c r="F166" i="8"/>
  <c r="F165" i="8"/>
  <c r="F164" i="8"/>
  <c r="F163" i="8"/>
  <c r="F162" i="8"/>
  <c r="F161" i="8"/>
  <c r="F160" i="8"/>
  <c r="F159" i="8"/>
  <c r="F158" i="8"/>
  <c r="F157" i="8"/>
  <c r="F156" i="8"/>
  <c r="F155" i="8"/>
  <c r="F154" i="8"/>
  <c r="F153" i="8"/>
  <c r="F152" i="8"/>
  <c r="F151" i="8"/>
  <c r="F150" i="8"/>
  <c r="F148" i="8"/>
  <c r="F147" i="8"/>
  <c r="F146" i="8"/>
  <c r="F145" i="8"/>
  <c r="F144" i="8"/>
  <c r="F143" i="8"/>
  <c r="F141" i="8"/>
  <c r="F140" i="8"/>
  <c r="F139" i="8"/>
  <c r="F138" i="8"/>
  <c r="F137" i="8"/>
  <c r="F136" i="8"/>
  <c r="F135" i="8"/>
  <c r="F134" i="8"/>
  <c r="F133" i="8"/>
  <c r="F132" i="8"/>
  <c r="F131" i="8"/>
  <c r="F130" i="8"/>
  <c r="F129" i="8"/>
  <c r="F128" i="8"/>
  <c r="F127" i="8"/>
  <c r="F126" i="8"/>
  <c r="F125" i="8"/>
  <c r="F124" i="8"/>
  <c r="F123" i="8"/>
  <c r="F121" i="8"/>
  <c r="F120" i="8"/>
  <c r="F119" i="8"/>
  <c r="F118" i="8"/>
  <c r="F117" i="8"/>
  <c r="F116" i="8"/>
  <c r="F115" i="8"/>
  <c r="F114" i="8"/>
  <c r="F113" i="8"/>
  <c r="F111" i="8"/>
  <c r="F110" i="8"/>
  <c r="F109" i="8"/>
  <c r="F108" i="8"/>
  <c r="F107" i="8"/>
  <c r="F106" i="8"/>
  <c r="F105" i="8"/>
  <c r="F104"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1" i="8"/>
  <c r="F40" i="8"/>
  <c r="F39" i="8"/>
  <c r="F38" i="8"/>
  <c r="F36" i="8"/>
  <c r="F35" i="8"/>
  <c r="F34" i="8"/>
  <c r="F33" i="8"/>
  <c r="F32" i="8"/>
  <c r="F31" i="8"/>
  <c r="F30" i="8"/>
  <c r="F29" i="8"/>
  <c r="F28" i="8"/>
  <c r="F27" i="8"/>
  <c r="F25" i="8"/>
  <c r="F24" i="8"/>
  <c r="F23" i="8"/>
  <c r="F22" i="8"/>
  <c r="F21" i="8"/>
  <c r="F20" i="8"/>
  <c r="F19" i="8"/>
  <c r="F18" i="8"/>
  <c r="F17" i="8"/>
  <c r="F16" i="8"/>
  <c r="F15" i="8"/>
  <c r="F14" i="8"/>
  <c r="F13" i="8"/>
  <c r="F12" i="8"/>
  <c r="F11" i="8"/>
  <c r="F10" i="8"/>
  <c r="F9" i="8"/>
  <c r="F7" i="8"/>
  <c r="F6" i="8"/>
  <c r="F5" i="8"/>
  <c r="F4" i="8"/>
  <c r="F3" i="8"/>
  <c r="F2" i="8"/>
  <c r="I742" i="7"/>
  <c r="H742" i="7"/>
  <c r="I741" i="7"/>
  <c r="H741" i="7"/>
  <c r="I740" i="7"/>
  <c r="H740" i="7"/>
  <c r="I739" i="7"/>
  <c r="H739" i="7"/>
  <c r="I738" i="7"/>
  <c r="H738" i="7"/>
  <c r="I737" i="7"/>
  <c r="H737" i="7"/>
  <c r="I736" i="7"/>
  <c r="H736" i="7"/>
  <c r="I735" i="7"/>
  <c r="H735" i="7"/>
  <c r="I734" i="7"/>
  <c r="H734" i="7"/>
  <c r="I733" i="7"/>
  <c r="H733" i="7"/>
  <c r="I732" i="7"/>
  <c r="H732" i="7"/>
  <c r="I731" i="7"/>
  <c r="H731" i="7"/>
  <c r="I730" i="7"/>
  <c r="H730" i="7"/>
  <c r="I729" i="7"/>
  <c r="H729" i="7"/>
  <c r="I728" i="7"/>
  <c r="H728" i="7"/>
  <c r="I727" i="7"/>
  <c r="H727" i="7"/>
  <c r="I726" i="7"/>
  <c r="H726" i="7"/>
  <c r="I725" i="7"/>
  <c r="H725" i="7"/>
  <c r="I724" i="7"/>
  <c r="H724" i="7"/>
  <c r="I723" i="7"/>
  <c r="H723" i="7"/>
  <c r="I722" i="7"/>
  <c r="H722" i="7"/>
  <c r="I721" i="7"/>
  <c r="H721" i="7"/>
  <c r="I720" i="7"/>
  <c r="H720" i="7"/>
  <c r="I719" i="7"/>
  <c r="H719" i="7"/>
  <c r="I718" i="7"/>
  <c r="H718" i="7"/>
  <c r="I717" i="7"/>
  <c r="H717" i="7"/>
  <c r="I716" i="7"/>
  <c r="H716" i="7"/>
  <c r="I715" i="7"/>
  <c r="H715" i="7"/>
  <c r="I714" i="7"/>
  <c r="H714" i="7"/>
  <c r="I713" i="7"/>
  <c r="H713" i="7"/>
  <c r="I712" i="7"/>
  <c r="H712" i="7"/>
  <c r="I711" i="7"/>
  <c r="H711" i="7"/>
  <c r="I710" i="7"/>
  <c r="H710" i="7"/>
  <c r="I709" i="7"/>
  <c r="H709" i="7"/>
  <c r="I708" i="7"/>
  <c r="H708" i="7"/>
  <c r="I707" i="7"/>
  <c r="H707" i="7"/>
  <c r="I706" i="7"/>
  <c r="H706" i="7"/>
  <c r="I705" i="7"/>
  <c r="H705" i="7"/>
  <c r="I704" i="7"/>
  <c r="H704" i="7"/>
  <c r="I703" i="7"/>
  <c r="H703" i="7"/>
  <c r="I702" i="7"/>
  <c r="H702" i="7"/>
  <c r="I701" i="7"/>
  <c r="H701" i="7"/>
  <c r="I700" i="7"/>
  <c r="H700" i="7"/>
  <c r="I699" i="7"/>
  <c r="H699" i="7"/>
  <c r="I698" i="7"/>
  <c r="H698" i="7"/>
  <c r="I697" i="7"/>
  <c r="H697" i="7"/>
  <c r="I696" i="7"/>
  <c r="H696" i="7"/>
  <c r="I695" i="7"/>
  <c r="H695" i="7"/>
  <c r="I694" i="7"/>
  <c r="H694" i="7"/>
  <c r="I693" i="7"/>
  <c r="H693" i="7"/>
  <c r="I692" i="7"/>
  <c r="H692" i="7"/>
  <c r="I691" i="7"/>
  <c r="H691" i="7"/>
  <c r="I690" i="7"/>
  <c r="H690" i="7"/>
  <c r="I689" i="7"/>
  <c r="H689" i="7"/>
  <c r="I688" i="7"/>
  <c r="H688" i="7"/>
  <c r="I687" i="7"/>
  <c r="H687" i="7"/>
  <c r="I686" i="7"/>
  <c r="H686" i="7"/>
  <c r="I685" i="7"/>
  <c r="H685" i="7"/>
  <c r="I684" i="7"/>
  <c r="H684" i="7"/>
  <c r="I683" i="7"/>
  <c r="H683" i="7"/>
  <c r="I682" i="7"/>
  <c r="H682" i="7"/>
  <c r="I681" i="7"/>
  <c r="H681" i="7"/>
  <c r="I680" i="7"/>
  <c r="H680" i="7"/>
  <c r="I679" i="7"/>
  <c r="H679" i="7"/>
  <c r="I678" i="7"/>
  <c r="H678" i="7"/>
  <c r="I677" i="7"/>
  <c r="H677" i="7"/>
  <c r="I676" i="7"/>
  <c r="H676" i="7"/>
  <c r="I675" i="7"/>
  <c r="H675" i="7"/>
  <c r="I674" i="7"/>
  <c r="H674" i="7"/>
  <c r="I673" i="7"/>
  <c r="H673" i="7"/>
  <c r="I672" i="7"/>
  <c r="H672" i="7"/>
  <c r="I671" i="7"/>
  <c r="H671" i="7"/>
  <c r="I670" i="7"/>
  <c r="H670" i="7"/>
  <c r="I669" i="7"/>
  <c r="H669" i="7"/>
  <c r="I668" i="7"/>
  <c r="H668" i="7"/>
  <c r="I667" i="7"/>
  <c r="H667" i="7"/>
  <c r="I666" i="7"/>
  <c r="H666" i="7"/>
  <c r="I665" i="7"/>
  <c r="H665" i="7"/>
  <c r="I664" i="7"/>
  <c r="H664" i="7"/>
  <c r="I663" i="7"/>
  <c r="H663" i="7"/>
  <c r="I662" i="7"/>
  <c r="H662" i="7"/>
  <c r="I661" i="7"/>
  <c r="H661" i="7"/>
  <c r="I660" i="7"/>
  <c r="H660" i="7"/>
  <c r="I659" i="7"/>
  <c r="H659" i="7"/>
  <c r="I658" i="7"/>
  <c r="H658" i="7"/>
  <c r="I657" i="7"/>
  <c r="H657" i="7"/>
  <c r="I656" i="7"/>
  <c r="H656" i="7"/>
  <c r="I655" i="7"/>
  <c r="H655" i="7"/>
  <c r="I654" i="7"/>
  <c r="H654" i="7"/>
  <c r="I653" i="7"/>
  <c r="H653" i="7"/>
  <c r="I652" i="7"/>
  <c r="H652" i="7"/>
  <c r="I651" i="7"/>
  <c r="H651" i="7"/>
  <c r="I650" i="7"/>
  <c r="H650" i="7"/>
  <c r="I649" i="7"/>
  <c r="H649" i="7"/>
  <c r="I648" i="7"/>
  <c r="H648" i="7"/>
  <c r="I647" i="7"/>
  <c r="H647" i="7"/>
  <c r="I646" i="7"/>
  <c r="H646" i="7"/>
  <c r="I645" i="7"/>
  <c r="H645" i="7"/>
  <c r="I644" i="7"/>
  <c r="H644" i="7"/>
  <c r="I643" i="7"/>
  <c r="H643" i="7"/>
  <c r="I642" i="7"/>
  <c r="H642" i="7"/>
  <c r="I641" i="7"/>
  <c r="H641" i="7"/>
  <c r="I640" i="7"/>
  <c r="H640" i="7"/>
  <c r="I639" i="7"/>
  <c r="H639" i="7"/>
  <c r="I638" i="7"/>
  <c r="H638" i="7"/>
  <c r="I637" i="7"/>
  <c r="H637" i="7"/>
  <c r="I636" i="7"/>
  <c r="H636" i="7"/>
  <c r="I635" i="7"/>
  <c r="H635" i="7"/>
  <c r="I634" i="7"/>
  <c r="H634" i="7"/>
  <c r="I633" i="7"/>
  <c r="H633" i="7"/>
  <c r="I632" i="7"/>
  <c r="H632" i="7"/>
  <c r="I631" i="7"/>
  <c r="H631" i="7"/>
  <c r="I630" i="7"/>
  <c r="H630" i="7"/>
  <c r="I629" i="7"/>
  <c r="H629" i="7"/>
  <c r="I628" i="7"/>
  <c r="H628" i="7"/>
  <c r="I627" i="7"/>
  <c r="H627" i="7"/>
  <c r="I626" i="7"/>
  <c r="H626" i="7"/>
  <c r="I625" i="7"/>
  <c r="H625" i="7"/>
  <c r="I624" i="7"/>
  <c r="H624" i="7"/>
  <c r="I623" i="7"/>
  <c r="H623" i="7"/>
  <c r="I622" i="7"/>
  <c r="H622" i="7"/>
  <c r="I621" i="7"/>
  <c r="H621" i="7"/>
  <c r="I620" i="7"/>
  <c r="H620" i="7"/>
  <c r="I619" i="7"/>
  <c r="H619" i="7"/>
  <c r="I618" i="7"/>
  <c r="H618" i="7"/>
  <c r="I617" i="7"/>
  <c r="H617" i="7"/>
  <c r="I616" i="7"/>
  <c r="H616" i="7"/>
  <c r="I615" i="7"/>
  <c r="H615" i="7"/>
  <c r="I614" i="7"/>
  <c r="H614" i="7"/>
  <c r="I613" i="7"/>
  <c r="H613" i="7"/>
  <c r="I612" i="7"/>
  <c r="H612" i="7"/>
  <c r="I611" i="7"/>
  <c r="H611" i="7"/>
  <c r="I610" i="7"/>
  <c r="H610" i="7"/>
  <c r="I609" i="7"/>
  <c r="H609" i="7"/>
  <c r="I608" i="7"/>
  <c r="H608" i="7"/>
  <c r="I607" i="7"/>
  <c r="H607" i="7"/>
  <c r="I606" i="7"/>
  <c r="H606" i="7"/>
  <c r="I605" i="7"/>
  <c r="H605" i="7"/>
  <c r="I604" i="7"/>
  <c r="H604" i="7"/>
  <c r="I603" i="7"/>
  <c r="H603" i="7"/>
  <c r="I602" i="7"/>
  <c r="H602" i="7"/>
  <c r="I601" i="7"/>
  <c r="H601" i="7"/>
  <c r="I600" i="7"/>
  <c r="H600" i="7"/>
  <c r="I599" i="7"/>
  <c r="H599" i="7"/>
  <c r="I598" i="7"/>
  <c r="H598" i="7"/>
  <c r="I597" i="7"/>
  <c r="H597" i="7"/>
  <c r="I596" i="7"/>
  <c r="H596" i="7"/>
  <c r="I595" i="7"/>
  <c r="H595" i="7"/>
  <c r="I594" i="7"/>
  <c r="H594" i="7"/>
  <c r="I593" i="7"/>
  <c r="H593" i="7"/>
  <c r="I592" i="7"/>
  <c r="H592" i="7"/>
  <c r="I591" i="7"/>
  <c r="H591" i="7"/>
  <c r="I590" i="7"/>
  <c r="H590" i="7"/>
  <c r="I589" i="7"/>
  <c r="H589" i="7"/>
  <c r="I588" i="7"/>
  <c r="H588" i="7"/>
  <c r="I587" i="7"/>
  <c r="H587" i="7"/>
  <c r="I586" i="7"/>
  <c r="H586" i="7"/>
  <c r="I585" i="7"/>
  <c r="H585" i="7"/>
  <c r="I584" i="7"/>
  <c r="H584" i="7"/>
  <c r="I583" i="7"/>
  <c r="H583" i="7"/>
  <c r="I582" i="7"/>
  <c r="H582" i="7"/>
  <c r="I581" i="7"/>
  <c r="H581" i="7"/>
  <c r="I580" i="7"/>
  <c r="H580" i="7"/>
  <c r="I579" i="7"/>
  <c r="H579" i="7"/>
  <c r="I578" i="7"/>
  <c r="H578" i="7"/>
  <c r="I577" i="7"/>
  <c r="H577" i="7"/>
  <c r="I576" i="7"/>
  <c r="H576" i="7"/>
  <c r="I575" i="7"/>
  <c r="H575" i="7"/>
  <c r="I574" i="7"/>
  <c r="H574" i="7"/>
  <c r="I573" i="7"/>
  <c r="H573" i="7"/>
  <c r="I572" i="7"/>
  <c r="H572" i="7"/>
  <c r="I571" i="7"/>
  <c r="H571" i="7"/>
  <c r="I570" i="7"/>
  <c r="H570" i="7"/>
  <c r="I569" i="7"/>
  <c r="H569" i="7"/>
  <c r="I568" i="7"/>
  <c r="H568" i="7"/>
  <c r="I567" i="7"/>
  <c r="H567" i="7"/>
  <c r="I566" i="7"/>
  <c r="H566" i="7"/>
  <c r="I565" i="7"/>
  <c r="H565" i="7"/>
  <c r="I564" i="7"/>
  <c r="H564" i="7"/>
  <c r="I563" i="7"/>
  <c r="H563" i="7"/>
  <c r="I562" i="7"/>
  <c r="H562" i="7"/>
  <c r="I561" i="7"/>
  <c r="H561" i="7"/>
  <c r="I560" i="7"/>
  <c r="H560" i="7"/>
  <c r="I559" i="7"/>
  <c r="H559" i="7"/>
  <c r="I558" i="7"/>
  <c r="H558" i="7"/>
  <c r="I557" i="7"/>
  <c r="H557" i="7"/>
  <c r="I556" i="7"/>
  <c r="H556" i="7"/>
  <c r="I555" i="7"/>
  <c r="H555" i="7"/>
  <c r="I554" i="7"/>
  <c r="H554" i="7"/>
  <c r="I553" i="7"/>
  <c r="H553" i="7"/>
  <c r="I552" i="7"/>
  <c r="H552" i="7"/>
  <c r="I551" i="7"/>
  <c r="H551" i="7"/>
  <c r="I550" i="7"/>
  <c r="H550" i="7"/>
  <c r="I549" i="7"/>
  <c r="H549" i="7"/>
  <c r="I548" i="7"/>
  <c r="H548" i="7"/>
  <c r="I547" i="7"/>
  <c r="H547" i="7"/>
  <c r="I546" i="7"/>
  <c r="H546" i="7"/>
  <c r="I545" i="7"/>
  <c r="H545" i="7"/>
  <c r="I544" i="7"/>
  <c r="H544" i="7"/>
  <c r="I543" i="7"/>
  <c r="H543" i="7"/>
  <c r="I542" i="7"/>
  <c r="H542" i="7"/>
  <c r="I541" i="7"/>
  <c r="H541" i="7"/>
  <c r="I540" i="7"/>
  <c r="H540" i="7"/>
  <c r="I539" i="7"/>
  <c r="H539" i="7"/>
  <c r="I538" i="7"/>
  <c r="H538" i="7"/>
  <c r="I537" i="7"/>
  <c r="H537" i="7"/>
  <c r="I536" i="7"/>
  <c r="H536" i="7"/>
  <c r="I535" i="7"/>
  <c r="H535" i="7"/>
  <c r="I534" i="7"/>
  <c r="H534" i="7"/>
  <c r="I533" i="7"/>
  <c r="H533" i="7"/>
  <c r="I532" i="7"/>
  <c r="H532" i="7"/>
  <c r="I531" i="7"/>
  <c r="H531" i="7"/>
  <c r="I530" i="7"/>
  <c r="H530" i="7"/>
  <c r="I529" i="7"/>
  <c r="H529" i="7"/>
  <c r="I528" i="7"/>
  <c r="H528" i="7"/>
  <c r="I527" i="7"/>
  <c r="H527" i="7"/>
  <c r="I526" i="7"/>
  <c r="H526" i="7"/>
  <c r="I525" i="7"/>
  <c r="H525" i="7"/>
  <c r="I524" i="7"/>
  <c r="H524" i="7"/>
  <c r="I523" i="7"/>
  <c r="H523" i="7"/>
  <c r="I522" i="7"/>
  <c r="H522" i="7"/>
  <c r="I521" i="7"/>
  <c r="H521" i="7"/>
  <c r="I520" i="7"/>
  <c r="H520" i="7"/>
  <c r="I519" i="7"/>
  <c r="H519" i="7"/>
  <c r="I518" i="7"/>
  <c r="H518" i="7"/>
  <c r="I517" i="7"/>
  <c r="H517" i="7"/>
  <c r="I516" i="7"/>
  <c r="H516" i="7"/>
  <c r="I515" i="7"/>
  <c r="H515" i="7"/>
  <c r="I514" i="7"/>
  <c r="H514" i="7"/>
  <c r="I513" i="7"/>
  <c r="H513" i="7"/>
  <c r="I512" i="7"/>
  <c r="H512" i="7"/>
  <c r="I511" i="7"/>
  <c r="H511" i="7"/>
  <c r="I510" i="7"/>
  <c r="H510" i="7"/>
  <c r="I509" i="7"/>
  <c r="H509" i="7"/>
  <c r="I508" i="7"/>
  <c r="H508" i="7"/>
  <c r="I507" i="7"/>
  <c r="H507" i="7"/>
  <c r="I506" i="7"/>
  <c r="H506" i="7"/>
  <c r="I505" i="7"/>
  <c r="H505" i="7"/>
  <c r="I504" i="7"/>
  <c r="H504" i="7"/>
  <c r="I503" i="7"/>
  <c r="H503" i="7"/>
  <c r="I502" i="7"/>
  <c r="H502" i="7"/>
  <c r="I501" i="7"/>
  <c r="H501" i="7"/>
  <c r="I500" i="7"/>
  <c r="H500" i="7"/>
  <c r="I499" i="7"/>
  <c r="H499" i="7"/>
  <c r="I498" i="7"/>
  <c r="H498" i="7"/>
  <c r="I497" i="7"/>
  <c r="H497" i="7"/>
  <c r="I496" i="7"/>
  <c r="H496" i="7"/>
  <c r="I495" i="7"/>
  <c r="H495" i="7"/>
  <c r="I494" i="7"/>
  <c r="H494" i="7"/>
  <c r="I493" i="7"/>
  <c r="H493" i="7"/>
  <c r="I492" i="7"/>
  <c r="H492" i="7"/>
  <c r="I491" i="7"/>
  <c r="H491" i="7"/>
  <c r="I490" i="7"/>
  <c r="H490" i="7"/>
  <c r="I489" i="7"/>
  <c r="H489" i="7"/>
  <c r="I488" i="7"/>
  <c r="H488" i="7"/>
  <c r="I487" i="7"/>
  <c r="H487" i="7"/>
  <c r="I486" i="7"/>
  <c r="H486" i="7"/>
  <c r="I485" i="7"/>
  <c r="H485" i="7"/>
  <c r="I484" i="7"/>
  <c r="H484" i="7"/>
  <c r="I483" i="7"/>
  <c r="H483" i="7"/>
  <c r="I482" i="7"/>
  <c r="H482" i="7"/>
  <c r="I481" i="7"/>
  <c r="H481" i="7"/>
  <c r="I480" i="7"/>
  <c r="H480" i="7"/>
  <c r="I479" i="7"/>
  <c r="H479" i="7"/>
  <c r="I478" i="7"/>
  <c r="H478" i="7"/>
  <c r="I477" i="7"/>
  <c r="H477" i="7"/>
  <c r="I476" i="7"/>
  <c r="H476" i="7"/>
  <c r="I475" i="7"/>
  <c r="H475" i="7"/>
  <c r="I474" i="7"/>
  <c r="H474" i="7"/>
  <c r="I473" i="7"/>
  <c r="H473" i="7"/>
  <c r="I472" i="7"/>
  <c r="H472" i="7"/>
  <c r="I471" i="7"/>
  <c r="H471" i="7"/>
  <c r="I470" i="7"/>
  <c r="H470" i="7"/>
  <c r="I469" i="7"/>
  <c r="H469" i="7"/>
  <c r="I468" i="7"/>
  <c r="H468" i="7"/>
  <c r="I467" i="7"/>
  <c r="H467" i="7"/>
  <c r="I466" i="7"/>
  <c r="H466" i="7"/>
  <c r="I465" i="7"/>
  <c r="H465" i="7"/>
  <c r="I464" i="7"/>
  <c r="H464" i="7"/>
  <c r="I463" i="7"/>
  <c r="H463" i="7"/>
  <c r="I462" i="7"/>
  <c r="H462" i="7"/>
  <c r="I461" i="7"/>
  <c r="H461" i="7"/>
  <c r="I460" i="7"/>
  <c r="H460" i="7"/>
  <c r="I459" i="7"/>
  <c r="H459" i="7"/>
  <c r="I458" i="7"/>
  <c r="H458" i="7"/>
  <c r="I457" i="7"/>
  <c r="H457" i="7"/>
  <c r="I456" i="7"/>
  <c r="H456" i="7"/>
  <c r="I455" i="7"/>
  <c r="H455" i="7"/>
  <c r="I454" i="7"/>
  <c r="H454" i="7"/>
  <c r="I453" i="7"/>
  <c r="H453" i="7"/>
  <c r="I452" i="7"/>
  <c r="H452" i="7"/>
  <c r="I451" i="7"/>
  <c r="H451" i="7"/>
  <c r="I450" i="7"/>
  <c r="H450" i="7"/>
  <c r="I449" i="7"/>
  <c r="H449" i="7"/>
  <c r="I448" i="7"/>
  <c r="H448" i="7"/>
  <c r="I447" i="7"/>
  <c r="H447" i="7"/>
  <c r="I446" i="7"/>
  <c r="H446" i="7"/>
  <c r="I445" i="7"/>
  <c r="H445" i="7"/>
  <c r="I444" i="7"/>
  <c r="H444" i="7"/>
  <c r="I443" i="7"/>
  <c r="H443" i="7"/>
  <c r="I442" i="7"/>
  <c r="H442" i="7"/>
  <c r="I441" i="7"/>
  <c r="H441" i="7"/>
  <c r="I440" i="7"/>
  <c r="H440" i="7"/>
  <c r="I439" i="7"/>
  <c r="H439" i="7"/>
  <c r="I438" i="7"/>
  <c r="H438" i="7"/>
  <c r="I437" i="7"/>
  <c r="H437" i="7"/>
  <c r="I436" i="7"/>
  <c r="H436" i="7"/>
  <c r="I435" i="7"/>
  <c r="H435" i="7"/>
  <c r="I434" i="7"/>
  <c r="H434" i="7"/>
  <c r="I433" i="7"/>
  <c r="H433" i="7"/>
  <c r="I432" i="7"/>
  <c r="H432" i="7"/>
  <c r="I431" i="7"/>
  <c r="H431" i="7"/>
  <c r="I430" i="7"/>
  <c r="H430" i="7"/>
  <c r="I429" i="7"/>
  <c r="H429" i="7"/>
  <c r="I428" i="7"/>
  <c r="H428" i="7"/>
  <c r="I427" i="7"/>
  <c r="H427" i="7"/>
  <c r="I426" i="7"/>
  <c r="H426" i="7"/>
  <c r="I425" i="7"/>
  <c r="H425" i="7"/>
  <c r="I424" i="7"/>
  <c r="H424" i="7"/>
  <c r="I423" i="7"/>
  <c r="H423" i="7"/>
  <c r="I422" i="7"/>
  <c r="H422" i="7"/>
  <c r="I421" i="7"/>
  <c r="H421" i="7"/>
  <c r="I420" i="7"/>
  <c r="H420" i="7"/>
  <c r="I419" i="7"/>
  <c r="H419" i="7"/>
  <c r="I418" i="7"/>
  <c r="H418" i="7"/>
  <c r="I417" i="7"/>
  <c r="H417" i="7"/>
  <c r="I416" i="7"/>
  <c r="H416" i="7"/>
  <c r="I415" i="7"/>
  <c r="H415" i="7"/>
  <c r="I414" i="7"/>
  <c r="H414" i="7"/>
  <c r="I413" i="7"/>
  <c r="H413" i="7"/>
  <c r="I412" i="7"/>
  <c r="H412" i="7"/>
  <c r="I411" i="7"/>
  <c r="H411" i="7"/>
  <c r="I410" i="7"/>
  <c r="H410" i="7"/>
  <c r="I409" i="7"/>
  <c r="H409" i="7"/>
  <c r="I408" i="7"/>
  <c r="H408" i="7"/>
  <c r="I407" i="7"/>
  <c r="H407" i="7"/>
  <c r="I406" i="7"/>
  <c r="H406" i="7"/>
  <c r="I405" i="7"/>
  <c r="H405" i="7"/>
  <c r="I404" i="7"/>
  <c r="H404" i="7"/>
  <c r="I403" i="7"/>
  <c r="H403" i="7"/>
  <c r="I402" i="7"/>
  <c r="H402" i="7"/>
  <c r="I401" i="7"/>
  <c r="H401" i="7"/>
  <c r="I400" i="7"/>
  <c r="H400" i="7"/>
  <c r="I399" i="7"/>
  <c r="H399" i="7"/>
  <c r="I398" i="7"/>
  <c r="H398" i="7"/>
  <c r="I397" i="7"/>
  <c r="H397" i="7"/>
  <c r="I396" i="7"/>
  <c r="H396" i="7"/>
  <c r="I395" i="7"/>
  <c r="H395" i="7"/>
  <c r="I394" i="7"/>
  <c r="H394" i="7"/>
  <c r="I393" i="7"/>
  <c r="H393" i="7"/>
  <c r="I392" i="7"/>
  <c r="H392" i="7"/>
  <c r="I391" i="7"/>
  <c r="H391" i="7"/>
  <c r="I390" i="7"/>
  <c r="H390" i="7"/>
  <c r="I389" i="7"/>
  <c r="H389" i="7"/>
  <c r="I388" i="7"/>
  <c r="H388" i="7"/>
  <c r="I387" i="7"/>
  <c r="H387" i="7"/>
  <c r="I386" i="7"/>
  <c r="H386" i="7"/>
  <c r="I385" i="7"/>
  <c r="H385" i="7"/>
  <c r="I384" i="7"/>
  <c r="H384" i="7"/>
  <c r="I383" i="7"/>
  <c r="H383" i="7"/>
  <c r="I382" i="7"/>
  <c r="H382" i="7"/>
  <c r="I381" i="7"/>
  <c r="H381" i="7"/>
  <c r="I380" i="7"/>
  <c r="H380" i="7"/>
  <c r="I379" i="7"/>
  <c r="H379" i="7"/>
  <c r="I378" i="7"/>
  <c r="H378" i="7"/>
  <c r="I377" i="7"/>
  <c r="H377" i="7"/>
  <c r="I376" i="7"/>
  <c r="H376" i="7"/>
  <c r="I375" i="7"/>
  <c r="H375" i="7"/>
  <c r="I374" i="7"/>
  <c r="H374" i="7"/>
  <c r="I373" i="7"/>
  <c r="H373" i="7"/>
  <c r="I372" i="7"/>
  <c r="H372" i="7"/>
  <c r="I371" i="7"/>
  <c r="H371" i="7"/>
  <c r="I370" i="7"/>
  <c r="H370" i="7"/>
  <c r="I369" i="7"/>
  <c r="H369" i="7"/>
  <c r="I368" i="7"/>
  <c r="H368" i="7"/>
  <c r="I367" i="7"/>
  <c r="H367" i="7"/>
  <c r="I366" i="7"/>
  <c r="H366" i="7"/>
  <c r="I365" i="7"/>
  <c r="H365" i="7"/>
  <c r="I364" i="7"/>
  <c r="H364" i="7"/>
  <c r="I363" i="7"/>
  <c r="H363" i="7"/>
  <c r="I362" i="7"/>
  <c r="H362" i="7"/>
  <c r="I361" i="7"/>
  <c r="H361" i="7"/>
  <c r="I360" i="7"/>
  <c r="H360" i="7"/>
  <c r="I359" i="7"/>
  <c r="H359" i="7"/>
  <c r="I358" i="7"/>
  <c r="H358" i="7"/>
  <c r="I357" i="7"/>
  <c r="H357" i="7"/>
  <c r="I356" i="7"/>
  <c r="H356" i="7"/>
  <c r="I355" i="7"/>
  <c r="H355" i="7"/>
  <c r="I354" i="7"/>
  <c r="H354" i="7"/>
  <c r="I353" i="7"/>
  <c r="H353" i="7"/>
  <c r="I352" i="7"/>
  <c r="H352" i="7"/>
  <c r="I351" i="7"/>
  <c r="H351" i="7"/>
  <c r="I350" i="7"/>
  <c r="H350" i="7"/>
  <c r="I349" i="7"/>
  <c r="H349" i="7"/>
  <c r="I348" i="7"/>
  <c r="H348" i="7"/>
  <c r="I347" i="7"/>
  <c r="H347" i="7"/>
  <c r="I346" i="7"/>
  <c r="H346" i="7"/>
  <c r="I345" i="7"/>
  <c r="H345" i="7"/>
  <c r="I344" i="7"/>
  <c r="H344" i="7"/>
  <c r="I343" i="7"/>
  <c r="H343" i="7"/>
  <c r="I342" i="7"/>
  <c r="H342" i="7"/>
  <c r="I341" i="7"/>
  <c r="H341" i="7"/>
  <c r="I340" i="7"/>
  <c r="H340" i="7"/>
  <c r="I339" i="7"/>
  <c r="H339" i="7"/>
  <c r="I338" i="7"/>
  <c r="H338" i="7"/>
  <c r="I337" i="7"/>
  <c r="H337" i="7"/>
  <c r="I336" i="7"/>
  <c r="H336" i="7"/>
  <c r="I335" i="7"/>
  <c r="H335" i="7"/>
  <c r="I334" i="7"/>
  <c r="H334" i="7"/>
  <c r="I333" i="7"/>
  <c r="H333" i="7"/>
  <c r="I332" i="7"/>
  <c r="H332" i="7"/>
  <c r="I331" i="7"/>
  <c r="H331" i="7"/>
  <c r="I330" i="7"/>
  <c r="H330" i="7"/>
  <c r="I329" i="7"/>
  <c r="H329" i="7"/>
  <c r="I328" i="7"/>
  <c r="H328" i="7"/>
  <c r="I327" i="7"/>
  <c r="H327" i="7"/>
  <c r="I326" i="7"/>
  <c r="H326" i="7"/>
  <c r="I325" i="7"/>
  <c r="H325" i="7"/>
  <c r="I324" i="7"/>
  <c r="H324" i="7"/>
  <c r="I323" i="7"/>
  <c r="H323" i="7"/>
  <c r="I322" i="7"/>
  <c r="H322" i="7"/>
  <c r="I321" i="7"/>
  <c r="H321" i="7"/>
  <c r="I320" i="7"/>
  <c r="H320" i="7"/>
  <c r="I319" i="7"/>
  <c r="H319" i="7"/>
  <c r="I318" i="7"/>
  <c r="H318" i="7"/>
  <c r="I317" i="7"/>
  <c r="H317" i="7"/>
  <c r="I316" i="7"/>
  <c r="H316" i="7"/>
  <c r="I315" i="7"/>
  <c r="H315" i="7"/>
  <c r="I314" i="7"/>
  <c r="H314" i="7"/>
  <c r="I313" i="7"/>
  <c r="H313" i="7"/>
  <c r="I312" i="7"/>
  <c r="H312" i="7"/>
  <c r="I311" i="7"/>
  <c r="H311" i="7"/>
  <c r="I310" i="7"/>
  <c r="H310" i="7"/>
  <c r="I309" i="7"/>
  <c r="H309" i="7"/>
  <c r="I308" i="7"/>
  <c r="H308" i="7"/>
  <c r="I307" i="7"/>
  <c r="H307" i="7"/>
  <c r="I306" i="7"/>
  <c r="H306" i="7"/>
  <c r="I305" i="7"/>
  <c r="H305" i="7"/>
  <c r="I304" i="7"/>
  <c r="H304" i="7"/>
  <c r="I303" i="7"/>
  <c r="H303" i="7"/>
  <c r="I302" i="7"/>
  <c r="H302" i="7"/>
  <c r="I301" i="7"/>
  <c r="H301" i="7"/>
  <c r="I300" i="7"/>
  <c r="H300" i="7"/>
  <c r="I299" i="7"/>
  <c r="H299" i="7"/>
  <c r="I298" i="7"/>
  <c r="H298" i="7"/>
  <c r="I297" i="7"/>
  <c r="H297" i="7"/>
  <c r="I296" i="7"/>
  <c r="H296" i="7"/>
  <c r="I295" i="7"/>
  <c r="H295" i="7"/>
  <c r="I294" i="7"/>
  <c r="H294" i="7"/>
  <c r="I293" i="7"/>
  <c r="H293" i="7"/>
  <c r="I292" i="7"/>
  <c r="H292" i="7"/>
  <c r="I291" i="7"/>
  <c r="H291" i="7"/>
  <c r="I290" i="7"/>
  <c r="H290" i="7"/>
  <c r="I289" i="7"/>
  <c r="H289" i="7"/>
  <c r="I288" i="7"/>
  <c r="H288" i="7"/>
  <c r="I287" i="7"/>
  <c r="H287" i="7"/>
  <c r="I286" i="7"/>
  <c r="H286" i="7"/>
  <c r="I285" i="7"/>
  <c r="H285" i="7"/>
  <c r="I284" i="7"/>
  <c r="H284" i="7"/>
  <c r="I283" i="7"/>
  <c r="H283" i="7"/>
  <c r="I282" i="7"/>
  <c r="H282" i="7"/>
  <c r="I281" i="7"/>
  <c r="H281" i="7"/>
  <c r="I280" i="7"/>
  <c r="H280" i="7"/>
  <c r="I279" i="7"/>
  <c r="H279" i="7"/>
  <c r="I278" i="7"/>
  <c r="H278" i="7"/>
  <c r="I277" i="7"/>
  <c r="H277" i="7"/>
  <c r="I276" i="7"/>
  <c r="H276" i="7"/>
  <c r="I275" i="7"/>
  <c r="H275" i="7"/>
  <c r="I274" i="7"/>
  <c r="H274" i="7"/>
  <c r="I273" i="7"/>
  <c r="H273" i="7"/>
  <c r="I272" i="7"/>
  <c r="H272" i="7"/>
  <c r="I271" i="7"/>
  <c r="H271" i="7"/>
  <c r="I270" i="7"/>
  <c r="H270" i="7"/>
  <c r="I269" i="7"/>
  <c r="H269" i="7"/>
  <c r="I268" i="7"/>
  <c r="H268" i="7"/>
  <c r="I267" i="7"/>
  <c r="H267" i="7"/>
  <c r="I266" i="7"/>
  <c r="H266" i="7"/>
  <c r="I265" i="7"/>
  <c r="H265" i="7"/>
  <c r="I264" i="7"/>
  <c r="H264" i="7"/>
  <c r="I263" i="7"/>
  <c r="H263" i="7"/>
  <c r="I262" i="7"/>
  <c r="H262" i="7"/>
  <c r="I261" i="7"/>
  <c r="H261" i="7"/>
  <c r="I260" i="7"/>
  <c r="H260" i="7"/>
  <c r="I259" i="7"/>
  <c r="H259" i="7"/>
  <c r="I258" i="7"/>
  <c r="H258" i="7"/>
  <c r="I257" i="7"/>
  <c r="H257" i="7"/>
  <c r="I256" i="7"/>
  <c r="H256" i="7"/>
  <c r="I255" i="7"/>
  <c r="H255" i="7"/>
  <c r="I254" i="7"/>
  <c r="H254" i="7"/>
  <c r="I253" i="7"/>
  <c r="H253" i="7"/>
  <c r="I252" i="7"/>
  <c r="H252" i="7"/>
  <c r="I251" i="7"/>
  <c r="H251" i="7"/>
  <c r="I250" i="7"/>
  <c r="H250" i="7"/>
  <c r="I249" i="7"/>
  <c r="H249" i="7"/>
  <c r="I248" i="7"/>
  <c r="H248" i="7"/>
  <c r="I247" i="7"/>
  <c r="H247" i="7"/>
  <c r="I246" i="7"/>
  <c r="H246" i="7"/>
  <c r="I245" i="7"/>
  <c r="H245" i="7"/>
  <c r="I244" i="7"/>
  <c r="H244" i="7"/>
  <c r="I243" i="7"/>
  <c r="H243" i="7"/>
  <c r="I242" i="7"/>
  <c r="H242" i="7"/>
  <c r="I241" i="7"/>
  <c r="H241" i="7"/>
  <c r="I240" i="7"/>
  <c r="H240" i="7"/>
  <c r="I239" i="7"/>
  <c r="H239" i="7"/>
  <c r="I238" i="7"/>
  <c r="H238" i="7"/>
  <c r="I237" i="7"/>
  <c r="H237" i="7"/>
  <c r="I236" i="7"/>
  <c r="H236" i="7"/>
  <c r="I235" i="7"/>
  <c r="H235" i="7"/>
  <c r="I234" i="7"/>
  <c r="H234" i="7"/>
  <c r="I233" i="7"/>
  <c r="H233" i="7"/>
  <c r="I232" i="7"/>
  <c r="H232" i="7"/>
  <c r="I231" i="7"/>
  <c r="H231" i="7"/>
  <c r="I230" i="7"/>
  <c r="H230" i="7"/>
  <c r="I229" i="7"/>
  <c r="H229" i="7"/>
  <c r="I228" i="7"/>
  <c r="H228" i="7"/>
  <c r="I227" i="7"/>
  <c r="H227" i="7"/>
  <c r="I226" i="7"/>
  <c r="H226" i="7"/>
  <c r="I225" i="7"/>
  <c r="H225" i="7"/>
  <c r="I224" i="7"/>
  <c r="H224" i="7"/>
  <c r="I223" i="7"/>
  <c r="H223" i="7"/>
  <c r="I222" i="7"/>
  <c r="H222" i="7"/>
  <c r="I221" i="7"/>
  <c r="H221" i="7"/>
  <c r="I220" i="7"/>
  <c r="H220" i="7"/>
  <c r="I219" i="7"/>
  <c r="H219" i="7"/>
  <c r="I218" i="7"/>
  <c r="H218" i="7"/>
  <c r="I217" i="7"/>
  <c r="H217" i="7"/>
  <c r="I216" i="7"/>
  <c r="H216" i="7"/>
  <c r="I215" i="7"/>
  <c r="H215" i="7"/>
  <c r="I214" i="7"/>
  <c r="H214" i="7"/>
  <c r="I213" i="7"/>
  <c r="H213" i="7"/>
  <c r="I212" i="7"/>
  <c r="H212" i="7"/>
  <c r="I211" i="7"/>
  <c r="H211" i="7"/>
  <c r="I210" i="7"/>
  <c r="H210" i="7"/>
  <c r="I209" i="7"/>
  <c r="H209" i="7"/>
  <c r="I208" i="7"/>
  <c r="H208" i="7"/>
  <c r="I207" i="7"/>
  <c r="H207" i="7"/>
  <c r="I206" i="7"/>
  <c r="H206" i="7"/>
  <c r="I205" i="7"/>
  <c r="H205" i="7"/>
  <c r="I204" i="7"/>
  <c r="H204" i="7"/>
  <c r="I203" i="7"/>
  <c r="H203" i="7"/>
  <c r="I202" i="7"/>
  <c r="H202" i="7"/>
  <c r="I201" i="7"/>
  <c r="H201" i="7"/>
  <c r="I200" i="7"/>
  <c r="H200" i="7"/>
  <c r="I199" i="7"/>
  <c r="H199" i="7"/>
  <c r="I198" i="7"/>
  <c r="H198" i="7"/>
  <c r="I197" i="7"/>
  <c r="H197" i="7"/>
  <c r="I196" i="7"/>
  <c r="H196" i="7"/>
  <c r="I195" i="7"/>
  <c r="H195" i="7"/>
  <c r="I194" i="7"/>
  <c r="H194" i="7"/>
  <c r="I193" i="7"/>
  <c r="H193" i="7"/>
  <c r="I192" i="7"/>
  <c r="H192" i="7"/>
  <c r="I191" i="7"/>
  <c r="H191" i="7"/>
  <c r="I190" i="7"/>
  <c r="H190" i="7"/>
  <c r="I189" i="7"/>
  <c r="H189" i="7"/>
  <c r="I188" i="7"/>
  <c r="H188" i="7"/>
  <c r="I187" i="7"/>
  <c r="H187" i="7"/>
  <c r="I186" i="7"/>
  <c r="H186" i="7"/>
  <c r="I185" i="7"/>
  <c r="H185" i="7"/>
  <c r="I184" i="7"/>
  <c r="H184" i="7"/>
  <c r="I183" i="7"/>
  <c r="H183" i="7"/>
  <c r="I182" i="7"/>
  <c r="H182" i="7"/>
  <c r="I181" i="7"/>
  <c r="H181" i="7"/>
  <c r="I180" i="7"/>
  <c r="H180" i="7"/>
  <c r="I179" i="7"/>
  <c r="H179" i="7"/>
  <c r="I178" i="7"/>
  <c r="H178" i="7"/>
  <c r="I177" i="7"/>
  <c r="H177" i="7"/>
  <c r="I176" i="7"/>
  <c r="H176" i="7"/>
  <c r="I175" i="7"/>
  <c r="H175" i="7"/>
  <c r="I174" i="7"/>
  <c r="H174" i="7"/>
  <c r="I173" i="7"/>
  <c r="H173" i="7"/>
  <c r="I172" i="7"/>
  <c r="H172" i="7"/>
  <c r="I171" i="7"/>
  <c r="H171" i="7"/>
  <c r="I170" i="7"/>
  <c r="H170" i="7"/>
  <c r="I169" i="7"/>
  <c r="H169" i="7"/>
  <c r="I168" i="7"/>
  <c r="H168" i="7"/>
  <c r="I167" i="7"/>
  <c r="H167" i="7"/>
  <c r="I166" i="7"/>
  <c r="H166" i="7"/>
  <c r="I165" i="7"/>
  <c r="H165" i="7"/>
  <c r="I164" i="7"/>
  <c r="H164" i="7"/>
  <c r="I163" i="7"/>
  <c r="H163" i="7"/>
  <c r="I162" i="7"/>
  <c r="H162" i="7"/>
  <c r="I161" i="7"/>
  <c r="H161" i="7"/>
  <c r="I160" i="7"/>
  <c r="H160" i="7"/>
  <c r="I159" i="7"/>
  <c r="H159" i="7"/>
  <c r="I158" i="7"/>
  <c r="H158" i="7"/>
  <c r="I157" i="7"/>
  <c r="H157" i="7"/>
  <c r="I156" i="7"/>
  <c r="H156" i="7"/>
  <c r="I155" i="7"/>
  <c r="H155" i="7"/>
  <c r="I154" i="7"/>
  <c r="H154" i="7"/>
  <c r="I153" i="7"/>
  <c r="H153" i="7"/>
  <c r="I152" i="7"/>
  <c r="H152" i="7"/>
  <c r="I151" i="7"/>
  <c r="H151" i="7"/>
  <c r="I150" i="7"/>
  <c r="H150" i="7"/>
  <c r="I149" i="7"/>
  <c r="H149" i="7"/>
  <c r="I148" i="7"/>
  <c r="H148" i="7"/>
  <c r="I147" i="7"/>
  <c r="H147" i="7"/>
  <c r="I146" i="7"/>
  <c r="H146" i="7"/>
  <c r="I145" i="7"/>
  <c r="H145" i="7"/>
  <c r="I144" i="7"/>
  <c r="H144" i="7"/>
  <c r="I143" i="7"/>
  <c r="H143" i="7"/>
  <c r="I142" i="7"/>
  <c r="H142" i="7"/>
  <c r="I141" i="7"/>
  <c r="H141" i="7"/>
  <c r="I140" i="7"/>
  <c r="H140" i="7"/>
  <c r="I139" i="7"/>
  <c r="H139" i="7"/>
  <c r="I138" i="7"/>
  <c r="H138" i="7"/>
  <c r="I137" i="7"/>
  <c r="H137" i="7"/>
  <c r="I136" i="7"/>
  <c r="H136" i="7"/>
  <c r="I135" i="7"/>
  <c r="H135" i="7"/>
  <c r="I134" i="7"/>
  <c r="H134" i="7"/>
  <c r="I133" i="7"/>
  <c r="H133" i="7"/>
  <c r="I132" i="7"/>
  <c r="H132" i="7"/>
  <c r="I131" i="7"/>
  <c r="H131" i="7"/>
  <c r="I130" i="7"/>
  <c r="H130" i="7"/>
  <c r="I129" i="7"/>
  <c r="H129" i="7"/>
  <c r="I128" i="7"/>
  <c r="H128" i="7"/>
  <c r="I127" i="7"/>
  <c r="H127" i="7"/>
  <c r="I126" i="7"/>
  <c r="H126" i="7"/>
  <c r="I125" i="7"/>
  <c r="H125" i="7"/>
  <c r="I124" i="7"/>
  <c r="H124" i="7"/>
  <c r="I123" i="7"/>
  <c r="H123" i="7"/>
  <c r="I122" i="7"/>
  <c r="H122" i="7"/>
  <c r="I121" i="7"/>
  <c r="H121" i="7"/>
  <c r="I120" i="7"/>
  <c r="H120" i="7"/>
  <c r="I119" i="7"/>
  <c r="H119" i="7"/>
  <c r="I118" i="7"/>
  <c r="H118" i="7"/>
  <c r="I117" i="7"/>
  <c r="H117" i="7"/>
  <c r="I116" i="7"/>
  <c r="H116" i="7"/>
  <c r="I115" i="7"/>
  <c r="H115" i="7"/>
  <c r="I114" i="7"/>
  <c r="H114" i="7"/>
  <c r="I113" i="7"/>
  <c r="H113" i="7"/>
  <c r="I112" i="7"/>
  <c r="H112" i="7"/>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I2" i="7"/>
  <c r="H2" i="7"/>
  <c r="AK268" i="12" l="1" a="1"/>
  <c r="AK268" i="12" s="1"/>
  <c r="AK242" i="12" a="1"/>
  <c r="AK242" i="12" s="1"/>
  <c r="Q34" i="12"/>
  <c r="O36" i="12"/>
  <c r="Q36" i="12" s="1"/>
  <c r="AK312" i="12" a="1"/>
  <c r="AK312" i="12" s="1"/>
  <c r="AK281" i="12" a="1"/>
  <c r="AK281" i="12" s="1"/>
  <c r="AK241" i="12" a="1"/>
  <c r="AK241" i="12" s="1"/>
  <c r="AK222" i="12" a="1"/>
  <c r="AK222" i="12" s="1"/>
  <c r="AK206" i="12" a="1"/>
  <c r="AK206" i="12" s="1"/>
  <c r="AK190" i="12" a="1"/>
  <c r="AK190" i="12" s="1"/>
  <c r="AK324" i="12" a="1"/>
  <c r="AK324" i="12" s="1"/>
  <c r="AK269" i="12" a="1"/>
  <c r="AK269" i="12" s="1"/>
  <c r="AK245" i="12" a="1"/>
  <c r="AK245" i="12" s="1"/>
  <c r="AK226" i="12" a="1"/>
  <c r="AK226" i="12" s="1"/>
  <c r="AK27" i="12" a="1"/>
  <c r="AK27" i="12" s="1"/>
  <c r="AK265" i="12" a="1"/>
  <c r="AK265" i="12" s="1"/>
  <c r="AK261" i="12" a="1"/>
  <c r="AK261" i="12" s="1"/>
  <c r="AK308" i="12" a="1"/>
  <c r="AK308" i="12" s="1"/>
  <c r="AK304" i="12" a="1"/>
  <c r="AK304" i="12" s="1"/>
  <c r="AK289" i="12" a="1"/>
  <c r="AK289" i="12" s="1"/>
  <c r="AK276" i="12" a="1"/>
  <c r="AK276" i="12" s="1"/>
  <c r="AK272" i="12" a="1"/>
  <c r="AK272" i="12" s="1"/>
  <c r="O25" i="12"/>
  <c r="Q25" i="12" s="1"/>
  <c r="O47" i="12"/>
  <c r="Q47" i="12" s="1"/>
  <c r="AK217" i="12" a="1"/>
  <c r="AK217" i="12" s="1"/>
  <c r="AK213" i="12" a="1"/>
  <c r="AK213" i="12" s="1"/>
  <c r="AK209" i="12" a="1"/>
  <c r="AK209" i="12" s="1"/>
  <c r="AK205" i="12" a="1"/>
  <c r="AK205" i="12" s="1"/>
  <c r="AK201" i="12" a="1"/>
  <c r="AK201" i="12" s="1"/>
  <c r="AK197" i="12" a="1"/>
  <c r="AK197" i="12" s="1"/>
  <c r="AK193" i="12" a="1"/>
  <c r="AK193" i="12" s="1"/>
  <c r="AK189" i="12" a="1"/>
  <c r="AK189" i="12" s="1"/>
  <c r="AK185" i="12" a="1"/>
  <c r="AK185" i="12" s="1"/>
  <c r="AK181" i="12" a="1"/>
  <c r="AK181" i="12" s="1"/>
  <c r="AK177" i="12" a="1"/>
  <c r="AK177" i="12" s="1"/>
  <c r="AK173" i="12" a="1"/>
  <c r="AK173" i="12" s="1"/>
  <c r="AK169" i="12" a="1"/>
  <c r="AK169" i="12" s="1"/>
  <c r="AK165" i="12" a="1"/>
  <c r="AK165" i="12" s="1"/>
  <c r="AK161" i="12" a="1"/>
  <c r="AK161" i="12" s="1"/>
  <c r="AK157" i="12" a="1"/>
  <c r="AK157" i="12" s="1"/>
  <c r="AK153" i="12" a="1"/>
  <c r="AK153" i="12" s="1"/>
  <c r="AK149" i="12" a="1"/>
  <c r="AK149" i="12" s="1"/>
  <c r="AK145" i="12" a="1"/>
  <c r="AK145" i="12" s="1"/>
  <c r="AK141" i="12" a="1"/>
  <c r="AK141" i="12" s="1"/>
  <c r="AK137" i="12" a="1"/>
  <c r="AK137" i="12" s="1"/>
  <c r="AK133" i="12" a="1"/>
  <c r="AK133" i="12" s="1"/>
  <c r="AK129" i="12" a="1"/>
  <c r="AK129" i="12" s="1"/>
  <c r="AK125" i="12" a="1"/>
  <c r="AK125" i="12" s="1"/>
  <c r="AK121" i="12" a="1"/>
  <c r="AK121" i="12" s="1"/>
  <c r="AK117" i="12" a="1"/>
  <c r="AK117" i="12" s="1"/>
  <c r="AK113" i="12" a="1"/>
  <c r="AK113" i="12" s="1"/>
  <c r="AK109" i="12" a="1"/>
  <c r="AK109" i="12" s="1"/>
  <c r="AK105" i="12" a="1"/>
  <c r="AK105" i="12" s="1"/>
  <c r="AK101" i="12" a="1"/>
  <c r="AK101" i="12" s="1"/>
  <c r="AK97" i="12" a="1"/>
  <c r="AK97" i="12" s="1"/>
  <c r="AK93" i="12" a="1"/>
  <c r="AK93" i="12" s="1"/>
  <c r="AK89" i="12" a="1"/>
  <c r="AK89" i="12" s="1"/>
  <c r="AK85" i="12" a="1"/>
  <c r="AK85" i="12" s="1"/>
  <c r="AK81" i="12" a="1"/>
  <c r="AK81" i="12" s="1"/>
  <c r="AK77" i="12" a="1"/>
  <c r="AK77" i="12" s="1"/>
  <c r="AK73" i="12" a="1"/>
  <c r="AK73" i="12" s="1"/>
  <c r="AK69" i="12" a="1"/>
  <c r="AK69" i="12" s="1"/>
  <c r="AK65" i="12" a="1"/>
  <c r="AK65" i="12" s="1"/>
  <c r="AK61" i="12" a="1"/>
  <c r="AK61" i="12" s="1"/>
  <c r="AK57" i="12" a="1"/>
  <c r="AK57" i="12" s="1"/>
  <c r="AK53" i="12" a="1"/>
  <c r="AK53" i="12" s="1"/>
  <c r="O46" i="12"/>
  <c r="Q46" i="12" s="1"/>
  <c r="AK39" i="12" a="1"/>
  <c r="AK39" i="12" s="1"/>
  <c r="O37" i="12"/>
  <c r="Q37" i="12" s="1"/>
  <c r="AK19" i="12" a="1"/>
  <c r="AK19" i="12" s="1"/>
  <c r="H105" i="10"/>
  <c r="I105" i="10"/>
  <c r="H89" i="10"/>
  <c r="I89" i="10"/>
  <c r="H73" i="10"/>
  <c r="I73" i="10"/>
  <c r="H57" i="10"/>
  <c r="I57" i="10"/>
  <c r="H41" i="10"/>
  <c r="I41" i="10"/>
  <c r="H25" i="10"/>
  <c r="I25" i="10"/>
  <c r="H9" i="10"/>
  <c r="I9" i="10"/>
  <c r="I615" i="10"/>
  <c r="I599" i="10"/>
  <c r="I583" i="10"/>
  <c r="I567" i="10"/>
  <c r="I551" i="10"/>
  <c r="I535" i="10"/>
  <c r="I519" i="10"/>
  <c r="I503" i="10"/>
  <c r="I487" i="10"/>
  <c r="I471" i="10"/>
  <c r="I455" i="10"/>
  <c r="I439" i="10"/>
  <c r="I423" i="10"/>
  <c r="I407" i="10"/>
  <c r="I411" i="10"/>
  <c r="H307" i="10"/>
  <c r="I307" i="10"/>
  <c r="H291" i="10"/>
  <c r="I291" i="10"/>
  <c r="H275" i="10"/>
  <c r="I275" i="10"/>
  <c r="H259" i="10"/>
  <c r="I259" i="10"/>
  <c r="H243" i="10"/>
  <c r="I243" i="10"/>
  <c r="H227" i="10"/>
  <c r="I227" i="10"/>
  <c r="H211" i="10"/>
  <c r="I211" i="10"/>
  <c r="H195" i="10"/>
  <c r="I195" i="10"/>
  <c r="H179" i="10"/>
  <c r="I179" i="10"/>
  <c r="I621" i="10"/>
  <c r="I605" i="10"/>
  <c r="I589" i="10"/>
  <c r="I573" i="10"/>
  <c r="I557" i="10"/>
  <c r="I541" i="10"/>
  <c r="I525" i="10"/>
  <c r="I509" i="10"/>
  <c r="I493" i="10"/>
  <c r="I477" i="10"/>
  <c r="I461" i="10"/>
  <c r="I445" i="10"/>
  <c r="I429" i="10"/>
  <c r="I413" i="10"/>
  <c r="I561" i="10"/>
  <c r="I545" i="10"/>
  <c r="I529" i="10"/>
  <c r="I513" i="10"/>
  <c r="I497" i="10"/>
  <c r="I481" i="10"/>
  <c r="I465" i="10"/>
  <c r="I449" i="10"/>
  <c r="I433" i="10"/>
  <c r="I417" i="10"/>
  <c r="I401" i="10"/>
  <c r="I611" i="10"/>
  <c r="I595" i="10"/>
  <c r="I579" i="10"/>
  <c r="I563" i="10"/>
  <c r="I547" i="10"/>
  <c r="I531" i="10"/>
  <c r="I515" i="10"/>
  <c r="I499" i="10"/>
  <c r="I483" i="10"/>
  <c r="I467" i="10"/>
  <c r="I451" i="10"/>
  <c r="I435" i="10"/>
  <c r="I419" i="10"/>
  <c r="I403" i="10"/>
  <c r="H315" i="10"/>
  <c r="I315" i="10"/>
  <c r="H299" i="10"/>
  <c r="I299" i="10"/>
  <c r="H283" i="10"/>
  <c r="I283" i="10"/>
  <c r="H267" i="10"/>
  <c r="I267" i="10"/>
  <c r="H251" i="10"/>
  <c r="I251" i="10"/>
  <c r="H235" i="10"/>
  <c r="I235" i="10"/>
  <c r="H219" i="10"/>
  <c r="I219" i="10"/>
  <c r="H203" i="10"/>
  <c r="I203" i="10"/>
  <c r="H187" i="10"/>
  <c r="I187" i="10"/>
  <c r="H159" i="10"/>
  <c r="I159" i="10"/>
  <c r="H143" i="10"/>
  <c r="I143" i="10"/>
  <c r="H127" i="10"/>
  <c r="I127" i="10"/>
  <c r="H111" i="10"/>
  <c r="I111" i="10"/>
  <c r="I314" i="10"/>
  <c r="I306" i="10"/>
  <c r="I298" i="10"/>
  <c r="I290" i="10"/>
  <c r="I282" i="10"/>
  <c r="I274" i="10"/>
  <c r="I266" i="10"/>
  <c r="I258" i="10"/>
  <c r="I250" i="10"/>
  <c r="I242" i="10"/>
  <c r="I234" i="10"/>
  <c r="I226" i="10"/>
  <c r="I218" i="10"/>
  <c r="I210" i="10"/>
  <c r="I202" i="10"/>
  <c r="I194" i="10"/>
  <c r="I186" i="10"/>
  <c r="I178" i="10"/>
  <c r="H165" i="10"/>
  <c r="I165" i="10"/>
  <c r="H149" i="10"/>
  <c r="I149" i="10"/>
  <c r="I319" i="10"/>
  <c r="I311" i="10"/>
  <c r="I303" i="10"/>
  <c r="I295" i="10"/>
  <c r="I287" i="10"/>
  <c r="I279" i="10"/>
  <c r="I271" i="10"/>
  <c r="I263" i="10"/>
  <c r="I255" i="10"/>
  <c r="I247" i="10"/>
  <c r="I239" i="10"/>
  <c r="I231" i="10"/>
  <c r="I223" i="10"/>
  <c r="I215" i="10"/>
  <c r="I207" i="10"/>
  <c r="I199" i="10"/>
  <c r="I191" i="10"/>
  <c r="I183" i="10"/>
  <c r="I175" i="10"/>
  <c r="H155" i="10"/>
  <c r="I155" i="10"/>
  <c r="I313" i="10"/>
  <c r="I305" i="10"/>
  <c r="I297" i="10"/>
  <c r="I289" i="10"/>
  <c r="I281" i="10"/>
  <c r="I273" i="10"/>
  <c r="I265" i="10"/>
  <c r="I257" i="10"/>
  <c r="I249" i="10"/>
  <c r="I241" i="10"/>
  <c r="I233" i="10"/>
  <c r="I225" i="10"/>
  <c r="I217" i="10"/>
  <c r="I209" i="10"/>
  <c r="I201" i="10"/>
  <c r="I193" i="10"/>
  <c r="I185" i="10"/>
  <c r="I177" i="10"/>
  <c r="H151" i="10"/>
  <c r="I151" i="10"/>
  <c r="H135" i="10"/>
  <c r="I135" i="10"/>
  <c r="H119" i="10"/>
  <c r="I119" i="10"/>
  <c r="H157" i="10"/>
  <c r="I157" i="10"/>
  <c r="H163" i="10"/>
  <c r="I163" i="10"/>
  <c r="I161" i="10"/>
  <c r="I153" i="10"/>
  <c r="I145" i="10"/>
  <c r="I137" i="10"/>
  <c r="I129" i="10"/>
  <c r="I121" i="10"/>
  <c r="I113" i="10"/>
  <c r="H95" i="10"/>
  <c r="I95" i="10"/>
  <c r="H79" i="10"/>
  <c r="I79" i="10"/>
  <c r="H63" i="10"/>
  <c r="I63" i="10"/>
  <c r="H47" i="10"/>
  <c r="I47" i="10"/>
  <c r="H31" i="10"/>
  <c r="I31" i="10"/>
  <c r="H15" i="10"/>
  <c r="I15" i="10"/>
  <c r="H101" i="10"/>
  <c r="I101" i="10"/>
  <c r="H85" i="10"/>
  <c r="I85" i="10"/>
  <c r="H69" i="10"/>
  <c r="I69" i="10"/>
  <c r="H53" i="10"/>
  <c r="I53" i="10"/>
  <c r="H37" i="10"/>
  <c r="I37" i="10"/>
  <c r="H21" i="10"/>
  <c r="I21" i="10"/>
  <c r="H5" i="10"/>
  <c r="I5" i="10"/>
  <c r="I147" i="10"/>
  <c r="I139" i="10"/>
  <c r="I131" i="10"/>
  <c r="I123" i="10"/>
  <c r="I115" i="10"/>
  <c r="H107" i="10"/>
  <c r="I107" i="10"/>
  <c r="H91" i="10"/>
  <c r="I91" i="10"/>
  <c r="H75" i="10"/>
  <c r="I75" i="10"/>
  <c r="H59" i="10"/>
  <c r="I59" i="10"/>
  <c r="H43" i="10"/>
  <c r="I43" i="10"/>
  <c r="H27" i="10"/>
  <c r="I27" i="10"/>
  <c r="H11" i="10"/>
  <c r="I11" i="10"/>
  <c r="H97" i="10"/>
  <c r="I97" i="10"/>
  <c r="H81" i="10"/>
  <c r="I81" i="10"/>
  <c r="H65" i="10"/>
  <c r="I65" i="10"/>
  <c r="H49" i="10"/>
  <c r="I49" i="10"/>
  <c r="H33" i="10"/>
  <c r="I33" i="10"/>
  <c r="H17" i="10"/>
  <c r="I17" i="10"/>
  <c r="I141" i="10"/>
  <c r="I133" i="10"/>
  <c r="I125" i="10"/>
  <c r="I117" i="10"/>
  <c r="I109" i="10"/>
  <c r="H103" i="10"/>
  <c r="I103" i="10"/>
  <c r="H87" i="10"/>
  <c r="I87" i="10"/>
  <c r="H71" i="10"/>
  <c r="I71" i="10"/>
  <c r="H55" i="10"/>
  <c r="I55" i="10"/>
  <c r="H39" i="10"/>
  <c r="I39" i="10"/>
  <c r="H23" i="10"/>
  <c r="I23" i="10"/>
  <c r="H7" i="10"/>
  <c r="I7" i="10"/>
  <c r="H93" i="10"/>
  <c r="I93" i="10"/>
  <c r="H77" i="10"/>
  <c r="I77" i="10"/>
  <c r="H61" i="10"/>
  <c r="I61" i="10"/>
  <c r="H45" i="10"/>
  <c r="I45" i="10"/>
  <c r="H29" i="10"/>
  <c r="I29" i="10"/>
  <c r="H13" i="10"/>
  <c r="I13" i="10"/>
  <c r="H99" i="10"/>
  <c r="I99" i="10"/>
  <c r="H83" i="10"/>
  <c r="I83" i="10"/>
  <c r="H67" i="10"/>
  <c r="I67" i="10"/>
  <c r="H51" i="10"/>
  <c r="I51" i="10"/>
  <c r="H35" i="10"/>
  <c r="I35" i="10"/>
  <c r="H19" i="10"/>
  <c r="I19" i="10"/>
  <c r="I3" i="10"/>
  <c r="AB17" i="4" l="1"/>
  <c r="W33" i="4"/>
  <c r="W32" i="4"/>
  <c r="AB30" i="4"/>
  <c r="AB29" i="4"/>
  <c r="W26" i="4"/>
  <c r="W25" i="4"/>
  <c r="R20" i="4"/>
  <c r="R21" i="4"/>
  <c r="R22" i="4"/>
  <c r="R23" i="4"/>
  <c r="R24" i="4"/>
  <c r="R25" i="4"/>
  <c r="R26" i="4"/>
  <c r="R27" i="4"/>
  <c r="R28" i="4"/>
  <c r="R29" i="4"/>
  <c r="R30" i="4"/>
  <c r="R31" i="4"/>
  <c r="R32" i="4"/>
  <c r="R33" i="4"/>
  <c r="R34" i="4"/>
  <c r="R35" i="4"/>
  <c r="R36" i="4"/>
  <c r="R37" i="4"/>
  <c r="R38" i="4"/>
  <c r="R39" i="4"/>
  <c r="R40" i="4"/>
  <c r="R41" i="4"/>
  <c r="R42" i="4"/>
  <c r="R43" i="4"/>
  <c r="R44" i="4"/>
  <c r="R45" i="4"/>
  <c r="W18" i="4"/>
  <c r="W17" i="4"/>
  <c r="W12" i="4"/>
  <c r="W11" i="4"/>
  <c r="W5" i="4"/>
  <c r="R15" i="4"/>
  <c r="R16" i="4"/>
  <c r="R10" i="4"/>
  <c r="R6" i="4"/>
  <c r="R5" i="4"/>
  <c r="R19" i="4"/>
  <c r="R18" i="4"/>
  <c r="R17" i="4"/>
  <c r="R14" i="4"/>
  <c r="R13" i="4"/>
  <c r="R12" i="4"/>
  <c r="R11" i="4"/>
  <c r="R9" i="4"/>
  <c r="R8" i="4"/>
  <c r="R7" i="4"/>
</calcChain>
</file>

<file path=xl/comments1.xml><?xml version="1.0" encoding="utf-8"?>
<comments xmlns="http://schemas.openxmlformats.org/spreadsheetml/2006/main">
  <authors>
    <author>Billy</author>
  </authors>
  <commentList>
    <comment ref="D2" authorId="0" shapeId="0">
      <text>
        <r>
          <rPr>
            <b/>
            <sz val="9"/>
            <color indexed="81"/>
            <rFont val="Tahoma"/>
            <family val="2"/>
          </rPr>
          <t>Billy:</t>
        </r>
        <r>
          <rPr>
            <sz val="9"/>
            <color indexed="81"/>
            <rFont val="Tahoma"/>
            <family val="2"/>
          </rPr>
          <t xml:space="preserve">
8 hours is 1/3 of a day so 1/3 * 30 = 10</t>
        </r>
      </text>
    </comment>
  </commentList>
</comments>
</file>

<file path=xl/sharedStrings.xml><?xml version="1.0" encoding="utf-8"?>
<sst xmlns="http://schemas.openxmlformats.org/spreadsheetml/2006/main" count="35601" uniqueCount="1613">
  <si>
    <t>1,048,576 rows by 16,384 columns</t>
  </si>
  <si>
    <t>Column width</t>
  </si>
  <si>
    <t>255 characters</t>
  </si>
  <si>
    <t>32,767 characters</t>
  </si>
  <si>
    <t>4K &gt; BLOB</t>
  </si>
  <si>
    <t>Size</t>
  </si>
  <si>
    <t>Spreadsheet</t>
  </si>
  <si>
    <t>Database</t>
  </si>
  <si>
    <t>Limited by cores and memory</t>
  </si>
  <si>
    <t>Copy sheet to sheet</t>
  </si>
  <si>
    <t>one place</t>
  </si>
  <si>
    <t>In memory</t>
  </si>
  <si>
    <t>On disk</t>
  </si>
  <si>
    <t>Hard to find errors</t>
  </si>
  <si>
    <t xml:space="preserve">Data integrity </t>
  </si>
  <si>
    <t>Type</t>
  </si>
  <si>
    <t>Rules (constraints)</t>
  </si>
  <si>
    <t>Hard to share</t>
  </si>
  <si>
    <t>Hundred of people &amp; apps</t>
  </si>
  <si>
    <t>Skills</t>
  </si>
  <si>
    <t>Many people</t>
  </si>
  <si>
    <t>Specialized / training</t>
  </si>
  <si>
    <t>Questions</t>
  </si>
  <si>
    <t>Complex</t>
  </si>
  <si>
    <t>Simple</t>
  </si>
  <si>
    <t>Many Add-Ins</t>
  </si>
  <si>
    <t>SQL Programming</t>
  </si>
  <si>
    <t>Reporting</t>
  </si>
  <si>
    <t>Characters in cell</t>
  </si>
  <si>
    <t>Working Data</t>
  </si>
  <si>
    <t>Data Analysis</t>
  </si>
  <si>
    <t>Charts</t>
  </si>
  <si>
    <t>Queries related to one list</t>
  </si>
  <si>
    <t xml:space="preserve">Sorting </t>
  </si>
  <si>
    <t>Printing</t>
  </si>
  <si>
    <t>Complex queries</t>
  </si>
  <si>
    <t>Visualization tools color</t>
  </si>
  <si>
    <t>Many tables in one report</t>
  </si>
  <si>
    <t>Change calculations</t>
  </si>
  <si>
    <t>MAD Data</t>
  </si>
  <si>
    <t>MAD does not impact</t>
  </si>
  <si>
    <t>Calculations are separate</t>
  </si>
  <si>
    <t>Embedded Calculations</t>
  </si>
  <si>
    <t>Many numerical functions</t>
  </si>
  <si>
    <t>CUSTOMERS</t>
  </si>
  <si>
    <t>ORDERS</t>
  </si>
  <si>
    <t>CUSTOMER#</t>
  </si>
  <si>
    <t>LASTNAME</t>
  </si>
  <si>
    <t>FIRSTNAME</t>
  </si>
  <si>
    <t>ADDRESS</t>
  </si>
  <si>
    <t>CITY</t>
  </si>
  <si>
    <t>STATE</t>
  </si>
  <si>
    <t>ZIP</t>
  </si>
  <si>
    <t>REFERRED</t>
  </si>
  <si>
    <t>ORDER#</t>
  </si>
  <si>
    <t>ORDERDATE</t>
  </si>
  <si>
    <t>SHIPDATE</t>
  </si>
  <si>
    <t>SHIPSTREET</t>
  </si>
  <si>
    <t>SHIPCITY</t>
  </si>
  <si>
    <t>SHIPSTATE</t>
  </si>
  <si>
    <t>SHIPZIP</t>
  </si>
  <si>
    <t>MORALES</t>
  </si>
  <si>
    <t>BONITA</t>
  </si>
  <si>
    <t>P.O. BOX 651</t>
  </si>
  <si>
    <t>EASTPOINT</t>
  </si>
  <si>
    <t>FL</t>
  </si>
  <si>
    <t>1201 ORANGE AVE</t>
  </si>
  <si>
    <t>SEATTLE</t>
  </si>
  <si>
    <t>WA</t>
  </si>
  <si>
    <t>THOMPSON</t>
  </si>
  <si>
    <t>RYAN</t>
  </si>
  <si>
    <t>P.O. BOX 9835</t>
  </si>
  <si>
    <t>SANTA MONICA</t>
  </si>
  <si>
    <t>CA</t>
  </si>
  <si>
    <t>114 EAST SAVANNAH</t>
  </si>
  <si>
    <t>ATLANTA</t>
  </si>
  <si>
    <t>GA</t>
  </si>
  <si>
    <t>SMITH</t>
  </si>
  <si>
    <t>LEILA</t>
  </si>
  <si>
    <t>P.O. BOX 66</t>
  </si>
  <si>
    <t>TALLAHASSEE</t>
  </si>
  <si>
    <t>58 TILA CIRCLE</t>
  </si>
  <si>
    <t>CHICAGO</t>
  </si>
  <si>
    <t>IL</t>
  </si>
  <si>
    <t>PIERSON</t>
  </si>
  <si>
    <t>THOMAS</t>
  </si>
  <si>
    <t>69821 SOUTH AVENUE</t>
  </si>
  <si>
    <t>BOISE</t>
  </si>
  <si>
    <t>ID</t>
  </si>
  <si>
    <t>958 MAGNOLIA LANE</t>
  </si>
  <si>
    <t>GIRARD</t>
  </si>
  <si>
    <t>CINDY</t>
  </si>
  <si>
    <t>P.O. BOX 851</t>
  </si>
  <si>
    <t>561 ROUNDABOUT WAY</t>
  </si>
  <si>
    <t>TRENTON</t>
  </si>
  <si>
    <t>NJ</t>
  </si>
  <si>
    <t>CRUZ</t>
  </si>
  <si>
    <t>MESHIA</t>
  </si>
  <si>
    <t>82 DIRT ROAD</t>
  </si>
  <si>
    <t>ALBANY</t>
  </si>
  <si>
    <t>NY</t>
  </si>
  <si>
    <t>1008 GRAND AVENUE</t>
  </si>
  <si>
    <t>MACON</t>
  </si>
  <si>
    <t>GIANA</t>
  </si>
  <si>
    <t>TAMMY</t>
  </si>
  <si>
    <t>9153 MAIN STREET</t>
  </si>
  <si>
    <t>AUSTIN</t>
  </si>
  <si>
    <t>TX</t>
  </si>
  <si>
    <t>558A CAPITOL HWY.</t>
  </si>
  <si>
    <t>JONES</t>
  </si>
  <si>
    <t>KENNETH</t>
  </si>
  <si>
    <t>P.O. BOX 137</t>
  </si>
  <si>
    <t>CHEYENNE</t>
  </si>
  <si>
    <t>WY</t>
  </si>
  <si>
    <t>PEREZ</t>
  </si>
  <si>
    <t>JORGE</t>
  </si>
  <si>
    <t>P.O. BOX 8564</t>
  </si>
  <si>
    <t>BURBANK</t>
  </si>
  <si>
    <t>LUCAS</t>
  </si>
  <si>
    <t>JAKE</t>
  </si>
  <si>
    <t>9 LIGHTENING RD.</t>
  </si>
  <si>
    <t>MCGOVERN</t>
  </si>
  <si>
    <t>REESE</t>
  </si>
  <si>
    <t>P.O. BOX 18</t>
  </si>
  <si>
    <t>384 WRONG WAY HOME</t>
  </si>
  <si>
    <t>MORRISTOWN</t>
  </si>
  <si>
    <t>MCKENZIE</t>
  </si>
  <si>
    <t>WILLIAM</t>
  </si>
  <si>
    <t>P.O. BOX 971</t>
  </si>
  <si>
    <t>BOSTON</t>
  </si>
  <si>
    <t>MA</t>
  </si>
  <si>
    <t>102 WEST LAFAYETTE</t>
  </si>
  <si>
    <t>NGUYEN</t>
  </si>
  <si>
    <t>NICHOLAS</t>
  </si>
  <si>
    <t>357 WHITE EAGLE AVE.</t>
  </si>
  <si>
    <t>CLERMONT</t>
  </si>
  <si>
    <t>1295 WINDY AVENUE</t>
  </si>
  <si>
    <t>KALMAZOO</t>
  </si>
  <si>
    <t>MI</t>
  </si>
  <si>
    <t>LEE</t>
  </si>
  <si>
    <t>JASMINE</t>
  </si>
  <si>
    <t>P.O. BOX 2947</t>
  </si>
  <si>
    <t>CODY</t>
  </si>
  <si>
    <t>7618 MOUNTAIN RD.</t>
  </si>
  <si>
    <t>SCHELL</t>
  </si>
  <si>
    <t>STEVE</t>
  </si>
  <si>
    <t>P.O. BOX 677</t>
  </si>
  <si>
    <t>MIAMI</t>
  </si>
  <si>
    <t>DAUM</t>
  </si>
  <si>
    <t>MICHELL</t>
  </si>
  <si>
    <t>9851231 LONG ROAD</t>
  </si>
  <si>
    <t>557 GLITTER ST.</t>
  </si>
  <si>
    <t>NELSON</t>
  </si>
  <si>
    <t>BECCA</t>
  </si>
  <si>
    <t>P.O. BOX 563</t>
  </si>
  <si>
    <t>9901 SEMINOLE WAY</t>
  </si>
  <si>
    <t>MONTIASA</t>
  </si>
  <si>
    <t>GREG</t>
  </si>
  <si>
    <t>887 HOT ASPHALT ST</t>
  </si>
  <si>
    <t>JENNIFER</t>
  </si>
  <si>
    <t>P.O. BOX 1151</t>
  </si>
  <si>
    <t>95812 HIGHWAY 98</t>
  </si>
  <si>
    <t>FALAH</t>
  </si>
  <si>
    <t>P.O. BOX 335</t>
  </si>
  <si>
    <t>UNDERWOOD</t>
  </si>
  <si>
    <t>CAREY</t>
  </si>
  <si>
    <t>1010 Brussel Rd</t>
  </si>
  <si>
    <t>NASHVILE</t>
  </si>
  <si>
    <t>TN</t>
  </si>
  <si>
    <t>195 JAMISON LANE</t>
  </si>
  <si>
    <t>SEACREST</t>
  </si>
  <si>
    <t>2134 Holly Blvd</t>
  </si>
  <si>
    <t>1201 APPLE AVE</t>
  </si>
  <si>
    <t>BELLEVUE</t>
  </si>
  <si>
    <t>THUMB</t>
  </si>
  <si>
    <t>TOM</t>
  </si>
  <si>
    <t xml:space="preserve">BOX 22 100 Main St </t>
  </si>
  <si>
    <t>Boden</t>
  </si>
  <si>
    <t>114 STONE BLVD</t>
  </si>
  <si>
    <t>DECATUR</t>
  </si>
  <si>
    <t>ORDERITEMS</t>
  </si>
  <si>
    <t>BOOKS</t>
  </si>
  <si>
    <t>ITEM#</t>
  </si>
  <si>
    <t>ISBN</t>
  </si>
  <si>
    <t>QUANTITY</t>
  </si>
  <si>
    <t>TITLE</t>
  </si>
  <si>
    <t>PUBDATE</t>
  </si>
  <si>
    <t>PUBID</t>
  </si>
  <si>
    <t>COST</t>
  </si>
  <si>
    <t>RETAIL</t>
  </si>
  <si>
    <t>CATEGORY</t>
  </si>
  <si>
    <t>BODYBUILD IN 10 MINUTES A DAY</t>
  </si>
  <si>
    <t>FITNESS</t>
  </si>
  <si>
    <t>REVENGE OF MICKEY</t>
  </si>
  <si>
    <t>FAMILY LIFE</t>
  </si>
  <si>
    <t>BUILDING A CAR WITH TOOTHPICKS</t>
  </si>
  <si>
    <t>CHILDREN</t>
  </si>
  <si>
    <t>DATABASE IMPLEMENTATION</t>
  </si>
  <si>
    <t>COMPUTER</t>
  </si>
  <si>
    <t>COOKING WITH MUSHROOMS</t>
  </si>
  <si>
    <t>COOKING</t>
  </si>
  <si>
    <t>HOLY GRAIL OF ORACLE</t>
  </si>
  <si>
    <t>HANDCRANKED COMPUTERS</t>
  </si>
  <si>
    <t>E-BUSINESS THE EASY WAY</t>
  </si>
  <si>
    <t>PAINLESS CHILD-REARING</t>
  </si>
  <si>
    <t>THE WOK WAY TO COOK</t>
  </si>
  <si>
    <t>BIG BEAR AND LITTLE DOVE</t>
  </si>
  <si>
    <t>HOW TO GET FASTER PIZZA</t>
  </si>
  <si>
    <t>SELF HELP</t>
  </si>
  <si>
    <t>HOW TO MANAGE THE MANAGER</t>
  </si>
  <si>
    <t>BUSINESS</t>
  </si>
  <si>
    <t>SHORTEST POEMS</t>
  </si>
  <si>
    <t>LITERATURE</t>
  </si>
  <si>
    <t>TEST RECORD</t>
  </si>
  <si>
    <t>TEST</t>
  </si>
  <si>
    <t>QTY</t>
  </si>
  <si>
    <t>TOTAL</t>
  </si>
  <si>
    <t>ODATE</t>
  </si>
  <si>
    <t>SDATE</t>
  </si>
  <si>
    <t>SSTREET</t>
  </si>
  <si>
    <t>SCITY</t>
  </si>
  <si>
    <t>SST</t>
  </si>
  <si>
    <t>Bookstore orders in a List</t>
  </si>
  <si>
    <t>Bookstore orders in database tables</t>
  </si>
  <si>
    <t>Table of Contents</t>
  </si>
  <si>
    <t>Spreadsheets vs. Databases</t>
  </si>
  <si>
    <t>An Invoice</t>
  </si>
  <si>
    <t>All the Invoices in Excel List</t>
  </si>
  <si>
    <t>All the Invoices in database tables</t>
  </si>
  <si>
    <t>Employee Name</t>
  </si>
  <si>
    <t>Building</t>
  </si>
  <si>
    <t>Department</t>
  </si>
  <si>
    <t>SS#</t>
  </si>
  <si>
    <t>Phone</t>
  </si>
  <si>
    <t>Status</t>
  </si>
  <si>
    <t>Hire Date</t>
  </si>
  <si>
    <t>Month</t>
  </si>
  <si>
    <t>Years</t>
  </si>
  <si>
    <t>Benefits</t>
  </si>
  <si>
    <t>Salary</t>
  </si>
  <si>
    <t>Job Rating</t>
  </si>
  <si>
    <t>New Salary</t>
  </si>
  <si>
    <t>Tax Rate</t>
  </si>
  <si>
    <t>TaxTable</t>
  </si>
  <si>
    <t>Dawson, Jonathan</t>
  </si>
  <si>
    <t>West</t>
  </si>
  <si>
    <t>ADC</t>
  </si>
  <si>
    <t>Contract</t>
  </si>
  <si>
    <t>Jan</t>
  </si>
  <si>
    <t>Jul</t>
  </si>
  <si>
    <t>Duran, Brian</t>
  </si>
  <si>
    <t>Taft</t>
  </si>
  <si>
    <t>Hourly</t>
  </si>
  <si>
    <t>Feb</t>
  </si>
  <si>
    <t>Aug</t>
  </si>
  <si>
    <t>Page, Lisa</t>
  </si>
  <si>
    <t>Full Time</t>
  </si>
  <si>
    <t>DMR</t>
  </si>
  <si>
    <t>Mar</t>
  </si>
  <si>
    <t>Sep</t>
  </si>
  <si>
    <t>Taylor, Hector</t>
  </si>
  <si>
    <t>Half-Time</t>
  </si>
  <si>
    <t>DM</t>
  </si>
  <si>
    <t>Apr</t>
  </si>
  <si>
    <t>Oct</t>
  </si>
  <si>
    <t>Weber, Larry</t>
  </si>
  <si>
    <t>Watson</t>
  </si>
  <si>
    <t>M</t>
  </si>
  <si>
    <t>May</t>
  </si>
  <si>
    <t>Nov</t>
  </si>
  <si>
    <t>Brewer, Kent</t>
  </si>
  <si>
    <t>Main</t>
  </si>
  <si>
    <t>Admin Training</t>
  </si>
  <si>
    <t>Jun</t>
  </si>
  <si>
    <t>Dec</t>
  </si>
  <si>
    <t>Burton, Cam</t>
  </si>
  <si>
    <t>D</t>
  </si>
  <si>
    <t>Chase, Troy</t>
  </si>
  <si>
    <t>Gallagher, Johnson</t>
  </si>
  <si>
    <t>Holland, Donald</t>
  </si>
  <si>
    <t>South</t>
  </si>
  <si>
    <t>Oconnor, Kent</t>
  </si>
  <si>
    <t>Phillips, Liesl</t>
  </si>
  <si>
    <t>R</t>
  </si>
  <si>
    <t>Pratt, Erik</t>
  </si>
  <si>
    <t>North</t>
  </si>
  <si>
    <t>Rowe, Ken</t>
  </si>
  <si>
    <t>Spencer, Boyd</t>
  </si>
  <si>
    <t>Strickland, Rajean</t>
  </si>
  <si>
    <t>Tanner, Timothy</t>
  </si>
  <si>
    <t>Todd, Steven</t>
  </si>
  <si>
    <t>White, Daniel</t>
  </si>
  <si>
    <t>Wiggins, Frank</t>
  </si>
  <si>
    <t>Wilkins, Jesse</t>
  </si>
  <si>
    <t>Wolf, Debbie</t>
  </si>
  <si>
    <t>Blair, Sperry</t>
  </si>
  <si>
    <t>Audit Services</t>
  </si>
  <si>
    <t>Carroll, Lesa</t>
  </si>
  <si>
    <t>Dunn, Matthew</t>
  </si>
  <si>
    <t>Fleming, Irv</t>
  </si>
  <si>
    <t>McKenzie, Michelle</t>
  </si>
  <si>
    <t>Nguyen, Dennis</t>
  </si>
  <si>
    <t>Potter, Dawn</t>
  </si>
  <si>
    <t>Thornton, Charles</t>
  </si>
  <si>
    <t>Walton, Benjamin</t>
  </si>
  <si>
    <t>Wyatt, Kelly</t>
  </si>
  <si>
    <t>Beck, Craig</t>
  </si>
  <si>
    <t>Compliance</t>
  </si>
  <si>
    <t>Bond, John</t>
  </si>
  <si>
    <t>Chang, Gabriel</t>
  </si>
  <si>
    <t>Phelps, Gretchen</t>
  </si>
  <si>
    <t>Becker, Gretchen</t>
  </si>
  <si>
    <t>Engineering/Maintenance</t>
  </si>
  <si>
    <t>Booker, Judith</t>
  </si>
  <si>
    <t>Briggs, Bryan</t>
  </si>
  <si>
    <t>Bullock, Greg</t>
  </si>
  <si>
    <t>Clayton, Gregory</t>
  </si>
  <si>
    <t>Conway, Brett</t>
  </si>
  <si>
    <t>Cunningham, Denise</t>
  </si>
  <si>
    <t>Deleon, Jaquelyn</t>
  </si>
  <si>
    <t>Dorsey, Matthew</t>
  </si>
  <si>
    <t>Farrell, Laura</t>
  </si>
  <si>
    <t>Fletcher, Brian</t>
  </si>
  <si>
    <t>Flowers, Kathleen</t>
  </si>
  <si>
    <t>Gardner, Anthony</t>
  </si>
  <si>
    <t>Goodman, Kuyler</t>
  </si>
  <si>
    <t>Griffith, Michelle</t>
  </si>
  <si>
    <t>Hammond, Robert</t>
  </si>
  <si>
    <t>Harding, Erin</t>
  </si>
  <si>
    <t>Harmon, Paul</t>
  </si>
  <si>
    <t>Hickman, John</t>
  </si>
  <si>
    <t>Hood, Renee</t>
  </si>
  <si>
    <t>Hudson, Lorna</t>
  </si>
  <si>
    <t>Huff, Erik</t>
  </si>
  <si>
    <t>James, Lynn</t>
  </si>
  <si>
    <t>Kent, Angus</t>
  </si>
  <si>
    <t>Lawrence, Ronald</t>
  </si>
  <si>
    <t>Martinez, Kathleen</t>
  </si>
  <si>
    <t>Matthews, Diane</t>
  </si>
  <si>
    <t>May, Steve</t>
  </si>
  <si>
    <t>McDonald, Debra</t>
  </si>
  <si>
    <t>Mendoza, Bobby</t>
  </si>
  <si>
    <t>Morgan, Patricia</t>
  </si>
  <si>
    <t>Mullins, Angela</t>
  </si>
  <si>
    <t>Navarro, Marc</t>
  </si>
  <si>
    <t>Nichols, Nathaniel</t>
  </si>
  <si>
    <t>Nicholson, Lee</t>
  </si>
  <si>
    <t>Norris, Tamara</t>
  </si>
  <si>
    <t>Perry, Christopher</t>
  </si>
  <si>
    <t>Pitts, Dana</t>
  </si>
  <si>
    <t>Poole, Tracy</t>
  </si>
  <si>
    <t>Porter, Rachel</t>
  </si>
  <si>
    <t>Powers, Tia</t>
  </si>
  <si>
    <t>Pruitt, Randy</t>
  </si>
  <si>
    <t>Richardson, Debbie</t>
  </si>
  <si>
    <t>Schneider, Gay</t>
  </si>
  <si>
    <t>Sherman, Karin</t>
  </si>
  <si>
    <t>Simmons, Robert</t>
  </si>
  <si>
    <t>Simpson, Jimmy</t>
  </si>
  <si>
    <t>Steele, Gerald</t>
  </si>
  <si>
    <t>Stone, Brian</t>
  </si>
  <si>
    <t>Swanson, Vicki</t>
  </si>
  <si>
    <t>Thompson, John</t>
  </si>
  <si>
    <t>Vance, Cheryl</t>
  </si>
  <si>
    <t>Wallace, Timothy</t>
  </si>
  <si>
    <t>Warren, Jean</t>
  </si>
  <si>
    <t>Weiss, Marisa</t>
  </si>
  <si>
    <t>Wheeler, Meegan</t>
  </si>
  <si>
    <t>Whitehead, Carolyn</t>
  </si>
  <si>
    <t>Wolfe, Keith</t>
  </si>
  <si>
    <t>York, Steven</t>
  </si>
  <si>
    <t>Cohen, Bruce</t>
  </si>
  <si>
    <t>Engineering/Operations</t>
  </si>
  <si>
    <t>Cortez, Jack</t>
  </si>
  <si>
    <t>Hardin, Gregory</t>
  </si>
  <si>
    <t>Juarez, Neill</t>
  </si>
  <si>
    <t>Kerr, Mihaela</t>
  </si>
  <si>
    <t>Pacheco, Therese</t>
  </si>
  <si>
    <t>Stokes, Jonathan</t>
  </si>
  <si>
    <t>Wade, Kevin</t>
  </si>
  <si>
    <t>Carey, Andrea</t>
  </si>
  <si>
    <t>Environmental Health/Safety</t>
  </si>
  <si>
    <t>Foley, Peter</t>
  </si>
  <si>
    <t>Gomez, Ed</t>
  </si>
  <si>
    <t>Hawkins, Douglas</t>
  </si>
  <si>
    <t>Hill, Robin</t>
  </si>
  <si>
    <t>Kim, Deborah</t>
  </si>
  <si>
    <t>Landry, Linda</t>
  </si>
  <si>
    <t>Malone, Daniel</t>
  </si>
  <si>
    <t>Norton, Bruce</t>
  </si>
  <si>
    <t>Allison, Timothy</t>
  </si>
  <si>
    <t>Executive Education</t>
  </si>
  <si>
    <t>Baker, Barney</t>
  </si>
  <si>
    <t>Copeland, Roger</t>
  </si>
  <si>
    <t>Durham, Troy</t>
  </si>
  <si>
    <t>Figueroa, Leonard</t>
  </si>
  <si>
    <t>Garner, Terry</t>
  </si>
  <si>
    <t>Hutchinson, Robin</t>
  </si>
  <si>
    <t>Lloyd, John</t>
  </si>
  <si>
    <t>Maxwell, Jill</t>
  </si>
  <si>
    <t>McCoy, Preston</t>
  </si>
  <si>
    <t>McDowell, Scott</t>
  </si>
  <si>
    <t>Molina, Michael</t>
  </si>
  <si>
    <t>Nixon, Randy</t>
  </si>
  <si>
    <t>Park, Timothy</t>
  </si>
  <si>
    <t>Perkins, Donald</t>
  </si>
  <si>
    <t>Ray, ReAnnon</t>
  </si>
  <si>
    <t>Roberson, Eileen</t>
  </si>
  <si>
    <t>Silva, Stephen</t>
  </si>
  <si>
    <t>Winters, Shaun</t>
  </si>
  <si>
    <t>Barnett, Brenda</t>
  </si>
  <si>
    <t>International Clinical Safety</t>
  </si>
  <si>
    <t>Daniel, Robert</t>
  </si>
  <si>
    <t>Gregory, Jon</t>
  </si>
  <si>
    <t>Nelson, Shira</t>
  </si>
  <si>
    <t>Ramos, Jan</t>
  </si>
  <si>
    <t>Adams, David</t>
  </si>
  <si>
    <t>Logistics</t>
  </si>
  <si>
    <t>Bass, Justin</t>
  </si>
  <si>
    <t>Calhoun, Dac Vinh</t>
  </si>
  <si>
    <t>Chen, Jaime</t>
  </si>
  <si>
    <t>Clarke, Dennis</t>
  </si>
  <si>
    <t>Cummings, Jose</t>
  </si>
  <si>
    <t>Curtis, Patrick</t>
  </si>
  <si>
    <t>Estrada, Joan</t>
  </si>
  <si>
    <t>Evans, Rolin</t>
  </si>
  <si>
    <t>Gallegos, Rick</t>
  </si>
  <si>
    <t>Gates, Anne</t>
  </si>
  <si>
    <t>Gross, Davin</t>
  </si>
  <si>
    <t>Hale, Deon</t>
  </si>
  <si>
    <t>Hardy, Svetlana</t>
  </si>
  <si>
    <t>Jordan, Mark</t>
  </si>
  <si>
    <t>Lara, Mark</t>
  </si>
  <si>
    <t>Lee, Charles</t>
  </si>
  <si>
    <t>Lowe, Michelle</t>
  </si>
  <si>
    <t>Mathis, Shari</t>
  </si>
  <si>
    <t>Montgomery, Chris</t>
  </si>
  <si>
    <t>Morse, Michael</t>
  </si>
  <si>
    <t>Newton, Leigh</t>
  </si>
  <si>
    <t>Noble, Michael</t>
  </si>
  <si>
    <t>Nunez, Benning</t>
  </si>
  <si>
    <t>Oliver, Francisco</t>
  </si>
  <si>
    <t>Padilla, Christopher</t>
  </si>
  <si>
    <t>Reese, Marc</t>
  </si>
  <si>
    <t>Rich, Brent</t>
  </si>
  <si>
    <t>Robertson, Nathan</t>
  </si>
  <si>
    <t>Santos, Garret</t>
  </si>
  <si>
    <t>Shaffer, Nobuko</t>
  </si>
  <si>
    <t>Shields, Robert</t>
  </si>
  <si>
    <t>Townsend, Jerry</t>
  </si>
  <si>
    <t>Vazquez, Kenneth</t>
  </si>
  <si>
    <t>Wagner, Lynne</t>
  </si>
  <si>
    <t>Wise, Ted</t>
  </si>
  <si>
    <t>Woodward, Tim</t>
  </si>
  <si>
    <t>Young, Benjamin</t>
  </si>
  <si>
    <t>Boone, Eric</t>
  </si>
  <si>
    <t>Major Mfg Projects</t>
  </si>
  <si>
    <t>Campos, Richard</t>
  </si>
  <si>
    <t>Douglas, Kenneth</t>
  </si>
  <si>
    <t>Gilmore, Terry</t>
  </si>
  <si>
    <t>Miranda, Elena</t>
  </si>
  <si>
    <t>Randolph, Kristin</t>
  </si>
  <si>
    <t>Romero, Randy</t>
  </si>
  <si>
    <t>Tran, Chad</t>
  </si>
  <si>
    <t>Allen, Thomas</t>
  </si>
  <si>
    <t>Manufacturing</t>
  </si>
  <si>
    <t>Atkins, Kevin</t>
  </si>
  <si>
    <t>Ayers, Douglas</t>
  </si>
  <si>
    <t>Barber, Robbie</t>
  </si>
  <si>
    <t>Barron, Michael</t>
  </si>
  <si>
    <t>Bates, Verna</t>
  </si>
  <si>
    <t>Baxter, Teresa</t>
  </si>
  <si>
    <t>Bell, David</t>
  </si>
  <si>
    <t>Benson, Troy</t>
  </si>
  <si>
    <t>Berry, Jacklyn</t>
  </si>
  <si>
    <t>Blackburn, Kathryn</t>
  </si>
  <si>
    <t>Boyd, Debra</t>
  </si>
  <si>
    <t>Boyer, John</t>
  </si>
  <si>
    <t>Bradford, Raymond</t>
  </si>
  <si>
    <t>Bradley, David</t>
  </si>
  <si>
    <t>Brady, Traci</t>
  </si>
  <si>
    <t>Bridges, Jeff</t>
  </si>
  <si>
    <t>Brock, Ensley</t>
  </si>
  <si>
    <t>Browning, Kathleen</t>
  </si>
  <si>
    <t>Burgess, Cherie</t>
  </si>
  <si>
    <t>Burns, Fiona</t>
  </si>
  <si>
    <t>Butler, Roy</t>
  </si>
  <si>
    <t>Callahan, Marilyn</t>
  </si>
  <si>
    <t>Camacho, Stephanie</t>
  </si>
  <si>
    <t>Carrillo, Robert</t>
  </si>
  <si>
    <t>Carson, Anthony</t>
  </si>
  <si>
    <t>Castro, Christopher</t>
  </si>
  <si>
    <t>Chambers, Richard</t>
  </si>
  <si>
    <t>Clay, William</t>
  </si>
  <si>
    <t>Cole, Elbert</t>
  </si>
  <si>
    <t>Coleman, Roque</t>
  </si>
  <si>
    <t>Collins, Michael</t>
  </si>
  <si>
    <t>Colon, Donnie</t>
  </si>
  <si>
    <t>Combs, Rick</t>
  </si>
  <si>
    <t>Conley, Mark</t>
  </si>
  <si>
    <t>Conner, Mark</t>
  </si>
  <si>
    <t>Cox, Stephanie</t>
  </si>
  <si>
    <t>Davidson, Jaime</t>
  </si>
  <si>
    <t>Day, David</t>
  </si>
  <si>
    <t>Decker, Amy</t>
  </si>
  <si>
    <t>Diaz, David</t>
  </si>
  <si>
    <t>Dickerson, Lincoln</t>
  </si>
  <si>
    <t>Dixon, Richard</t>
  </si>
  <si>
    <t>Dominguez, Duane</t>
  </si>
  <si>
    <t>Drake, Kyle</t>
  </si>
  <si>
    <t>Eaton, Cris</t>
  </si>
  <si>
    <t>Elliott, Anthony</t>
  </si>
  <si>
    <t>English, David</t>
  </si>
  <si>
    <t>Fernandez, Marie</t>
  </si>
  <si>
    <t>Fields, Cathy</t>
  </si>
  <si>
    <t>Finley, James</t>
  </si>
  <si>
    <t>Flores, Angela</t>
  </si>
  <si>
    <t>Francis, Todd</t>
  </si>
  <si>
    <t>Frazier, Chris</t>
  </si>
  <si>
    <t>Fuller, Brenda</t>
  </si>
  <si>
    <t>Gibbs, Debra</t>
  </si>
  <si>
    <t>Glover, Eugene</t>
  </si>
  <si>
    <t>Golden, Christine</t>
  </si>
  <si>
    <t>Greene, Alexander</t>
  </si>
  <si>
    <t>Hampton, Catherine</t>
  </si>
  <si>
    <t>Harris, Brian</t>
  </si>
  <si>
    <t>Harrison, Jonathan</t>
  </si>
  <si>
    <t>Haynes, Ernest</t>
  </si>
  <si>
    <t>Heath, Deborah</t>
  </si>
  <si>
    <t>Herman, Henrietta</t>
  </si>
  <si>
    <t>Herring, Joanna</t>
  </si>
  <si>
    <t>Hobbs, Scott</t>
  </si>
  <si>
    <t>House, Paul</t>
  </si>
  <si>
    <t>Houston, Mark</t>
  </si>
  <si>
    <t>Huffman, Ignacio</t>
  </si>
  <si>
    <t>Humphrey, Andrew</t>
  </si>
  <si>
    <t>Hurst, Thomas</t>
  </si>
  <si>
    <t>Jacobs, Florianne</t>
  </si>
  <si>
    <t>Joseph, Christopher</t>
  </si>
  <si>
    <t>Kemp, Holly</t>
  </si>
  <si>
    <t>Larson, David</t>
  </si>
  <si>
    <t>Little, Steve</t>
  </si>
  <si>
    <t>Logan, Karen</t>
  </si>
  <si>
    <t>Lyons, Brian</t>
  </si>
  <si>
    <t>Manning, John</t>
  </si>
  <si>
    <t>Marshall, Anita</t>
  </si>
  <si>
    <t>McBride, Grazyna</t>
  </si>
  <si>
    <t>McCall, Keith</t>
  </si>
  <si>
    <t>McConnell, Justin</t>
  </si>
  <si>
    <t>McGee, Carol</t>
  </si>
  <si>
    <t>McGuire, Rebecca</t>
  </si>
  <si>
    <t>McKee, Michelle</t>
  </si>
  <si>
    <t>McKinney, Chris</t>
  </si>
  <si>
    <t>McLaughlin, Edward</t>
  </si>
  <si>
    <t>Melton, Scott</t>
  </si>
  <si>
    <t>Mendez, Max</t>
  </si>
  <si>
    <t>Mercado, David</t>
  </si>
  <si>
    <t>Merritt, Kevin</t>
  </si>
  <si>
    <t>Meyer, Charles</t>
  </si>
  <si>
    <t>Meyers, David</t>
  </si>
  <si>
    <t>Miller, Jessica</t>
  </si>
  <si>
    <t>Mitchell, Shannon</t>
  </si>
  <si>
    <t>Moran, Carol</t>
  </si>
  <si>
    <t>Moss, Chan</t>
  </si>
  <si>
    <t>Nash, Mark</t>
  </si>
  <si>
    <t>Oneal, William</t>
  </si>
  <si>
    <t>Osborne, Bill</t>
  </si>
  <si>
    <t>Parker, Carl</t>
  </si>
  <si>
    <t>Parrish, Debra</t>
  </si>
  <si>
    <t>Patel, Donald</t>
  </si>
  <si>
    <t>Patrick, Wendy</t>
  </si>
  <si>
    <t>Payne, Vicky</t>
  </si>
  <si>
    <t>Pearson, Cassy</t>
  </si>
  <si>
    <t>Pena, Erik</t>
  </si>
  <si>
    <t>Perez, Kim</t>
  </si>
  <si>
    <t>Peters, Robert</t>
  </si>
  <si>
    <t>Petersen, Timothy</t>
  </si>
  <si>
    <t>Pierce, Karen</t>
  </si>
  <si>
    <t>Pittman, Bacardi</t>
  </si>
  <si>
    <t>Powell, Juli</t>
  </si>
  <si>
    <t>Price, Diana</t>
  </si>
  <si>
    <t>Rhodes, Brenda</t>
  </si>
  <si>
    <t>Rice, Diane</t>
  </si>
  <si>
    <t>Richard, Karen</t>
  </si>
  <si>
    <t>Richards, Richard</t>
  </si>
  <si>
    <t>Rios, Fredrick</t>
  </si>
  <si>
    <t>DR</t>
  </si>
  <si>
    <t>Robinson, John</t>
  </si>
  <si>
    <t>Rodriguez, Scott</t>
  </si>
  <si>
    <t>Rojas, Charles</t>
  </si>
  <si>
    <t>Roth, Tony</t>
  </si>
  <si>
    <t>Ryan, Ryan</t>
  </si>
  <si>
    <t>Sanders, Troy</t>
  </si>
  <si>
    <t>Schultz, Norman</t>
  </si>
  <si>
    <t>Sexton, John</t>
  </si>
  <si>
    <t>Sharp, Janine</t>
  </si>
  <si>
    <t>Shelton, Donna</t>
  </si>
  <si>
    <t>Sloan, Cindy</t>
  </si>
  <si>
    <t>Small, Athanasios</t>
  </si>
  <si>
    <t>Smith, Koleen</t>
  </si>
  <si>
    <t>Snow, Desiree</t>
  </si>
  <si>
    <t>Stafford, Rhonda</t>
  </si>
  <si>
    <t>Stewart, Elizabeth</t>
  </si>
  <si>
    <t>Sullivan, Robert</t>
  </si>
  <si>
    <t>Summers, Harold</t>
  </si>
  <si>
    <t>Tate, Zachary</t>
  </si>
  <si>
    <t>Trujillo, Shawn</t>
  </si>
  <si>
    <t>Velasquez, Clint</t>
  </si>
  <si>
    <t>Vincent, Guy</t>
  </si>
  <si>
    <t>Walker, Mike</t>
  </si>
  <si>
    <t>Washington, Phillip</t>
  </si>
  <si>
    <t>Watson, Christian</t>
  </si>
  <si>
    <t>Weaver, Eric</t>
  </si>
  <si>
    <t>Whitaker, Jessica</t>
  </si>
  <si>
    <t>Wilkinson, Gregory</t>
  </si>
  <si>
    <t>Williamson, Sumed</t>
  </si>
  <si>
    <t>Wright, Brad</t>
  </si>
  <si>
    <t>Alexander, Charles</t>
  </si>
  <si>
    <t>Manufacturing Admin</t>
  </si>
  <si>
    <t>Carr, Susan</t>
  </si>
  <si>
    <t>Hanson, Dennis</t>
  </si>
  <si>
    <t>Hernandez, Glenn</t>
  </si>
  <si>
    <t>Roberts, Jackie</t>
  </si>
  <si>
    <t>Savage, John</t>
  </si>
  <si>
    <t>Wood, Larry</t>
  </si>
  <si>
    <t>Barr, Jennifer</t>
  </si>
  <si>
    <t>Operations</t>
  </si>
  <si>
    <t>Bishop, Juan</t>
  </si>
  <si>
    <t>Blevins, Carey</t>
  </si>
  <si>
    <t>Brooks, Richard</t>
  </si>
  <si>
    <t>Bryant, Douglas</t>
  </si>
  <si>
    <t>Buckel, Patricia</t>
  </si>
  <si>
    <t>Bush, Rena</t>
  </si>
  <si>
    <t>Caldwell, Pete</t>
  </si>
  <si>
    <t>Campbell, Michael</t>
  </si>
  <si>
    <t>Chavez, Thomas</t>
  </si>
  <si>
    <t>Everett, Dan</t>
  </si>
  <si>
    <t>Fischer, David</t>
  </si>
  <si>
    <t>Gill, Douglas</t>
  </si>
  <si>
    <t>Gonzales, David</t>
  </si>
  <si>
    <t>Griffin, Debbi</t>
  </si>
  <si>
    <t>Hamilton, Theo</t>
  </si>
  <si>
    <t>Hogan, Daniel</t>
  </si>
  <si>
    <t>Holmes, Tito</t>
  </si>
  <si>
    <t>Howard, Lisa</t>
  </si>
  <si>
    <t>Hull, Jeanne</t>
  </si>
  <si>
    <t>Ingram, Matt</t>
  </si>
  <si>
    <t>Jensen, Kristina</t>
  </si>
  <si>
    <t>Johns, Chad</t>
  </si>
  <si>
    <t>Johnston, Daniel</t>
  </si>
  <si>
    <t>Jones, John</t>
  </si>
  <si>
    <t>Knox, Lori</t>
  </si>
  <si>
    <t>Koch, Danielle</t>
  </si>
  <si>
    <t>Lambert, Jody</t>
  </si>
  <si>
    <t>Leach, Jingwen</t>
  </si>
  <si>
    <t>Love, Danny</t>
  </si>
  <si>
    <t>Lowery, Charles</t>
  </si>
  <si>
    <t>Marquez, Thomas</t>
  </si>
  <si>
    <t>McLean, Richard</t>
  </si>
  <si>
    <t>Moore, Robert</t>
  </si>
  <si>
    <t>Patton, Corey</t>
  </si>
  <si>
    <t>Prince, Robert</t>
  </si>
  <si>
    <t>Randall, Yvonne</t>
  </si>
  <si>
    <t>Reed, Larry</t>
  </si>
  <si>
    <t>Reyes, Mary</t>
  </si>
  <si>
    <t>Reynolds, Barbara</t>
  </si>
  <si>
    <t>Robles, Charles</t>
  </si>
  <si>
    <t>Ross, Janice</t>
  </si>
  <si>
    <t>Sellers, William</t>
  </si>
  <si>
    <t>Simon, Sheila</t>
  </si>
  <si>
    <t>Spears, Melanie</t>
  </si>
  <si>
    <t>Stephens, Bonnie</t>
  </si>
  <si>
    <t>Trevino, Gary</t>
  </si>
  <si>
    <t>Tucker, James</t>
  </si>
  <si>
    <t>Valdez, Ann</t>
  </si>
  <si>
    <t>Waters, Alfred</t>
  </si>
  <si>
    <t>Weeks, Troy</t>
  </si>
  <si>
    <t>Arnold, Cole</t>
  </si>
  <si>
    <t>Peptide Chemistry</t>
  </si>
  <si>
    <t>Ball, Kirk</t>
  </si>
  <si>
    <t>Bowers, Tammy</t>
  </si>
  <si>
    <t>Bryan, Thomas</t>
  </si>
  <si>
    <t>Burke, Michael</t>
  </si>
  <si>
    <t>Byrd, Asa</t>
  </si>
  <si>
    <t>Christensen, Jill</t>
  </si>
  <si>
    <t>Franklin, Alicia</t>
  </si>
  <si>
    <t>Kelly, Icelita</t>
  </si>
  <si>
    <t>Leon, Emily</t>
  </si>
  <si>
    <t>Livingston, Lynette</t>
  </si>
  <si>
    <t>Lucas, John</t>
  </si>
  <si>
    <t>Maynard, Susan</t>
  </si>
  <si>
    <t>McCarthy, Ryan</t>
  </si>
  <si>
    <t>McCullough, Scott</t>
  </si>
  <si>
    <t>Moody, Matthew</t>
  </si>
  <si>
    <t>Norman, Rita</t>
  </si>
  <si>
    <t>Owen, Robert</t>
  </si>
  <si>
    <t>Pope, Duane</t>
  </si>
  <si>
    <t>Short, Timothy</t>
  </si>
  <si>
    <t>Vaughn, Harlon</t>
  </si>
  <si>
    <t>Knight, Denise</t>
  </si>
  <si>
    <t>Pharmacokinetics</t>
  </si>
  <si>
    <t>Medina, Warren</t>
  </si>
  <si>
    <t>Stephenson, Matt</t>
  </si>
  <si>
    <t>Wall, John</t>
  </si>
  <si>
    <t>Alvarado, Sonia</t>
  </si>
  <si>
    <t>Process Development</t>
  </si>
  <si>
    <t>Anthony, Robert</t>
  </si>
  <si>
    <t>Ballard, Martin</t>
  </si>
  <si>
    <t>Banks, Ryan</t>
  </si>
  <si>
    <t>Bauer, Chris</t>
  </si>
  <si>
    <t>Bennett, Chris</t>
  </si>
  <si>
    <t>Best, Lara</t>
  </si>
  <si>
    <t>Chandler, Diane</t>
  </si>
  <si>
    <t>Cline, Rebecca</t>
  </si>
  <si>
    <t>Dudley, James</t>
  </si>
  <si>
    <t>Ellis, Brenda</t>
  </si>
  <si>
    <t>Floyd, Eric</t>
  </si>
  <si>
    <t>Fowler, John</t>
  </si>
  <si>
    <t>Garrison, Chris</t>
  </si>
  <si>
    <t>Greer, Brian</t>
  </si>
  <si>
    <t>Guerra, Karen</t>
  </si>
  <si>
    <t>Guerrero, Laura</t>
  </si>
  <si>
    <t>Hancock, Allen</t>
  </si>
  <si>
    <t>Hess, Brian</t>
  </si>
  <si>
    <t>Hines, Herb</t>
  </si>
  <si>
    <t>Hodges, Lisa</t>
  </si>
  <si>
    <t>Luna, Rodney</t>
  </si>
  <si>
    <t>Mack, Barry</t>
  </si>
  <si>
    <t>Mathews, Marcia</t>
  </si>
  <si>
    <t>McClain, Steven</t>
  </si>
  <si>
    <t>Morris, Richelle</t>
  </si>
  <si>
    <t>Mosley, Michael</t>
  </si>
  <si>
    <t>Murray, Rebecca</t>
  </si>
  <si>
    <t>Olson, Melanie</t>
  </si>
  <si>
    <t>Orr, Jennifer</t>
  </si>
  <si>
    <t>Pace, Joseph</t>
  </si>
  <si>
    <t>Peterson, Shaun</t>
  </si>
  <si>
    <t>Reeves, Greg</t>
  </si>
  <si>
    <t>Robbins, Suzanne</t>
  </si>
  <si>
    <t>Russell, Mark</t>
  </si>
  <si>
    <t>Saunders, Corey</t>
  </si>
  <si>
    <t>Sawyer, Catherine</t>
  </si>
  <si>
    <t>Skinner, Jason</t>
  </si>
  <si>
    <t>Sutton, Matthew</t>
  </si>
  <si>
    <t>Terry, Karin</t>
  </si>
  <si>
    <t>Underwood, Todd</t>
  </si>
  <si>
    <t>Walsh, Matthew</t>
  </si>
  <si>
    <t>Wong, Dennis</t>
  </si>
  <si>
    <t>Yates, Doug</t>
  </si>
  <si>
    <t>Bartlett, Julia</t>
  </si>
  <si>
    <t>Professional Training Group</t>
  </si>
  <si>
    <t>Barton, Barry</t>
  </si>
  <si>
    <t>Contreras, Dean</t>
  </si>
  <si>
    <t>Cross, Marc</t>
  </si>
  <si>
    <t>Dodson, David</t>
  </si>
  <si>
    <t>Estes, Mary</t>
  </si>
  <si>
    <t>Garza, Anthony</t>
  </si>
  <si>
    <t>Gentry, John</t>
  </si>
  <si>
    <t>Hartman, Michael</t>
  </si>
  <si>
    <t>Lamb, John</t>
  </si>
  <si>
    <t>Maldonado, Robert</t>
  </si>
  <si>
    <t>Parsons, Phillip</t>
  </si>
  <si>
    <t>Rodriquez, Denise</t>
  </si>
  <si>
    <t>Watts, Curtis</t>
  </si>
  <si>
    <t>Webb, Jim</t>
  </si>
  <si>
    <t>Williams, Scott</t>
  </si>
  <si>
    <t>Anderson, Teason</t>
  </si>
  <si>
    <t>Project &amp; Contract Services</t>
  </si>
  <si>
    <t>Andrews, Diane</t>
  </si>
  <si>
    <t>Ashley, Michael</t>
  </si>
  <si>
    <t>Atkinson, Danielle</t>
  </si>
  <si>
    <t>Austin, William</t>
  </si>
  <si>
    <t>Ayala, Polly</t>
  </si>
  <si>
    <t>Barker, Heidi</t>
  </si>
  <si>
    <t>Bean, Deborah</t>
  </si>
  <si>
    <t>Booth, Raquel</t>
  </si>
  <si>
    <t>Bowman, Michael</t>
  </si>
  <si>
    <t>Burnett, Kevin</t>
  </si>
  <si>
    <t>c</t>
  </si>
  <si>
    <t>Cain, Lon</t>
  </si>
  <si>
    <t>Cameron, John</t>
  </si>
  <si>
    <t>Cannon, Jenny</t>
  </si>
  <si>
    <t>Carter, Allan</t>
  </si>
  <si>
    <t>Castillo, Sheri</t>
  </si>
  <si>
    <t>Chapman, Jessica</t>
  </si>
  <si>
    <t>Christian, Melissa</t>
  </si>
  <si>
    <t>Cobb, Nicole</t>
  </si>
  <si>
    <t>Curry, Hunyen</t>
  </si>
  <si>
    <t>Delgado, Dale</t>
  </si>
  <si>
    <t>Doyle, Leslie</t>
  </si>
  <si>
    <t>Edwards, Phillip</t>
  </si>
  <si>
    <t>Espinoza, Derrell</t>
  </si>
  <si>
    <t>Farmer, Suzanne</t>
  </si>
  <si>
    <t>Fitzgerald, George</t>
  </si>
  <si>
    <t>Ford, Matt</t>
  </si>
  <si>
    <t>Fox, Ellen</t>
  </si>
  <si>
    <t>Frank, William</t>
  </si>
  <si>
    <t>Freeman, Dennis</t>
  </si>
  <si>
    <t>French, Robert</t>
  </si>
  <si>
    <t>Frost, Adam</t>
  </si>
  <si>
    <t>Gilbert, Shannon</t>
  </si>
  <si>
    <t>Glass, John</t>
  </si>
  <si>
    <t>Gordon, Diane</t>
  </si>
  <si>
    <t>Grant, Leonard</t>
  </si>
  <si>
    <t>Gutierrez, Regina</t>
  </si>
  <si>
    <t>Harper, Cynthia</t>
  </si>
  <si>
    <t>Hayes, Edward</t>
  </si>
  <si>
    <t>Henson, Debra</t>
  </si>
  <si>
    <t>Herrera, Shawn</t>
  </si>
  <si>
    <t>Higgins, Angela</t>
  </si>
  <si>
    <t>Holloway, Chris</t>
  </si>
  <si>
    <t>Horn, George</t>
  </si>
  <si>
    <t>Howell, Douglas</t>
  </si>
  <si>
    <t>Hunter, Lisa</t>
  </si>
  <si>
    <t>Jackson, Eric</t>
  </si>
  <si>
    <t>Jefferson, Elaine</t>
  </si>
  <si>
    <t>Jenkins, Scott</t>
  </si>
  <si>
    <t>Jennings, Gary</t>
  </si>
  <si>
    <t>Kirby, Michael</t>
  </si>
  <si>
    <t>Lawson, Erin</t>
  </si>
  <si>
    <t>Lindsey, Deborah</t>
  </si>
  <si>
    <t>Long, Gary</t>
  </si>
  <si>
    <t>Lynch, Scott</t>
  </si>
  <si>
    <t>Mann, Lowell</t>
  </si>
  <si>
    <t>Morrow, Richard</t>
  </si>
  <si>
    <t>Morton, Brian</t>
  </si>
  <si>
    <t>Moses, Mark</t>
  </si>
  <si>
    <t>Neal, Sally</t>
  </si>
  <si>
    <t>Preston, Chris</t>
  </si>
  <si>
    <t>Ramsey, Nathaniel</t>
  </si>
  <si>
    <t>Reid, Elizabeth</t>
  </si>
  <si>
    <t>Rivers, Douglas</t>
  </si>
  <si>
    <t>Roman, Teri</t>
  </si>
  <si>
    <t>Schmidt, Michael</t>
  </si>
  <si>
    <t>Scott, Todd</t>
  </si>
  <si>
    <t>Serrano, Al</t>
  </si>
  <si>
    <t>Shannon, Kevin</t>
  </si>
  <si>
    <t>Shaw, Pat</t>
  </si>
  <si>
    <t>Shepherd, Annie</t>
  </si>
  <si>
    <t>Solis, Daniel</t>
  </si>
  <si>
    <t>Soto, Christopher</t>
  </si>
  <si>
    <t>Stanley, Eric</t>
  </si>
  <si>
    <t>Vargas, Bryant</t>
  </si>
  <si>
    <t>Vasquez, Michael</t>
  </si>
  <si>
    <t>Villarreal, Stephen</t>
  </si>
  <si>
    <t>Walls, Brian</t>
  </si>
  <si>
    <t>Walters, Ann</t>
  </si>
  <si>
    <t>Ward, Williams</t>
  </si>
  <si>
    <t>Watkins, Gary</t>
  </si>
  <si>
    <t>Wells, Carlos</t>
  </si>
  <si>
    <t>West, Jeffrey</t>
  </si>
  <si>
    <t>Wiley, Gustavo</t>
  </si>
  <si>
    <t>William, William</t>
  </si>
  <si>
    <t>Wilson, Jessica</t>
  </si>
  <si>
    <t>Woodard, Charles</t>
  </si>
  <si>
    <t>Abbott, James</t>
  </si>
  <si>
    <t>Quality Assurance</t>
  </si>
  <si>
    <t>Acosta, Robert</t>
  </si>
  <si>
    <t>Adkins, Michael</t>
  </si>
  <si>
    <t>Aguilar, Kevin</t>
  </si>
  <si>
    <t>Alvarez, Steven</t>
  </si>
  <si>
    <t>Avila, Jody</t>
  </si>
  <si>
    <t>Baldwin, Ray</t>
  </si>
  <si>
    <t>Barnes, Grant</t>
  </si>
  <si>
    <t>Black, Cliff</t>
  </si>
  <si>
    <t>Blankenship, Roger</t>
  </si>
  <si>
    <t>Branch, Brady</t>
  </si>
  <si>
    <t>Bruce, Kevin</t>
  </si>
  <si>
    <t>Carpenter, Ronald</t>
  </si>
  <si>
    <t>Charles, Jeffrey</t>
  </si>
  <si>
    <t>Clark, William</t>
  </si>
  <si>
    <t>Collier, Dean</t>
  </si>
  <si>
    <t>Cooper, Lisa</t>
  </si>
  <si>
    <t>Dean, Gayla</t>
  </si>
  <si>
    <t>Dennis, Paul</t>
  </si>
  <si>
    <t>Duncan, George</t>
  </si>
  <si>
    <t>Dyer, Carrie</t>
  </si>
  <si>
    <t>Ferguson, John</t>
  </si>
  <si>
    <t>Fisher, Maria</t>
  </si>
  <si>
    <t>Foster, Blane</t>
  </si>
  <si>
    <t>Gaines, Sheela</t>
  </si>
  <si>
    <t>Glenn, Christopher</t>
  </si>
  <si>
    <t>Guzman, Don</t>
  </si>
  <si>
    <t>Harrell, Cristin</t>
  </si>
  <si>
    <t>Harrington, Aron</t>
  </si>
  <si>
    <t>Hatfield, Carl</t>
  </si>
  <si>
    <t>Henry, Craig</t>
  </si>
  <si>
    <t>Hodge, Craig</t>
  </si>
  <si>
    <t>Hoffman, Brian D</t>
  </si>
  <si>
    <t>Holt, Robert</t>
  </si>
  <si>
    <t>Hoover, Evangeline</t>
  </si>
  <si>
    <t>Horton, Cleatis</t>
  </si>
  <si>
    <t>Hughes, Kevin</t>
  </si>
  <si>
    <t>Johnson, Mary Jo</t>
  </si>
  <si>
    <t>King, Taslim</t>
  </si>
  <si>
    <t>Kirk, Chris</t>
  </si>
  <si>
    <t>Lane, Brandyn</t>
  </si>
  <si>
    <t>Marks, LaReina</t>
  </si>
  <si>
    <t>Mason, Suzanne</t>
  </si>
  <si>
    <t>Massey, Mark</t>
  </si>
  <si>
    <t>McCormick, Hsi</t>
  </si>
  <si>
    <t>McDaniel, Tamara</t>
  </si>
  <si>
    <t>Middleton, Jen</t>
  </si>
  <si>
    <t>Miles, Kenneth</t>
  </si>
  <si>
    <t>Monroe, Justin</t>
  </si>
  <si>
    <t>Moreno, Chris</t>
  </si>
  <si>
    <t>Munoz, Michael</t>
  </si>
  <si>
    <t>Murphy, Jeff</t>
  </si>
  <si>
    <t>Obrien, Madelyn</t>
  </si>
  <si>
    <t>Owens, Dwight</t>
  </si>
  <si>
    <t>Paul, Michael</t>
  </si>
  <si>
    <t>Pugh, Lawrence</t>
  </si>
  <si>
    <t>Rogers, Colleen</t>
  </si>
  <si>
    <t>Ruiz, Randall</t>
  </si>
  <si>
    <t>Rush, Lateef</t>
  </si>
  <si>
    <t>Santiago, Michael</t>
  </si>
  <si>
    <t>Schroeder, Bennet</t>
  </si>
  <si>
    <t>Solomon, Michael</t>
  </si>
  <si>
    <t>Stevens, Andrew</t>
  </si>
  <si>
    <t>Strong, Lisa</t>
  </si>
  <si>
    <t>Torres, Bruce</t>
  </si>
  <si>
    <t>Turner, Ray</t>
  </si>
  <si>
    <t>Tyler, Javier</t>
  </si>
  <si>
    <t>Vega, Alexandra</t>
  </si>
  <si>
    <t>Velez, Letitia</t>
  </si>
  <si>
    <t>Walter, Michael</t>
  </si>
  <si>
    <t>Warner, Stephen</t>
  </si>
  <si>
    <t>Wilcox, Robert</t>
  </si>
  <si>
    <t>Woods, Marcus</t>
  </si>
  <si>
    <t>Armstrong, David</t>
  </si>
  <si>
    <t>Quality Control</t>
  </si>
  <si>
    <t>Barrett, John</t>
  </si>
  <si>
    <t>Beard, Sandi</t>
  </si>
  <si>
    <t>Beasley, Timothy</t>
  </si>
  <si>
    <t>Blackwell, Brandon</t>
  </si>
  <si>
    <t>Blake, Thomas</t>
  </si>
  <si>
    <t>Bowen, Kes</t>
  </si>
  <si>
    <t>Brown, Donald</t>
  </si>
  <si>
    <t>Buchanan, Dennis</t>
  </si>
  <si>
    <t>Casey, Ronald</t>
  </si>
  <si>
    <t>Cochran, Andrea</t>
  </si>
  <si>
    <t>Cook, Mark</t>
  </si>
  <si>
    <t>Craig, Alan</t>
  </si>
  <si>
    <t>Crawford, Ronald</t>
  </si>
  <si>
    <t>Cruz, Janene</t>
  </si>
  <si>
    <t>Daniels, Janet</t>
  </si>
  <si>
    <t>Davenport, Troy</t>
  </si>
  <si>
    <t>Davis, Tonya</t>
  </si>
  <si>
    <t>Ellison, Melyssa</t>
  </si>
  <si>
    <t>Erickson, Ricky</t>
  </si>
  <si>
    <t>Garcia, Karen</t>
  </si>
  <si>
    <t>Garrett, Chris</t>
  </si>
  <si>
    <t>George, Jessica</t>
  </si>
  <si>
    <t>Gibson, Janet</t>
  </si>
  <si>
    <t>Giles, Kathleen</t>
  </si>
  <si>
    <t>Gonzalez, David</t>
  </si>
  <si>
    <t>Goodwin, April</t>
  </si>
  <si>
    <t>Graham, David</t>
  </si>
  <si>
    <t>Graves, Michael</t>
  </si>
  <si>
    <t>Gray, Mark</t>
  </si>
  <si>
    <t>Grimes, Jeffrey</t>
  </si>
  <si>
    <t>Hall, Jenny</t>
  </si>
  <si>
    <t>Hansen, Andrew</t>
  </si>
  <si>
    <t>Hart, Richard</t>
  </si>
  <si>
    <t>Harvey, Michael</t>
  </si>
  <si>
    <t>Henderson, Anthony</t>
  </si>
  <si>
    <t>Hensley, William</t>
  </si>
  <si>
    <t>Hicks, Monica</t>
  </si>
  <si>
    <t>Hopkins, Lisa</t>
  </si>
  <si>
    <t>Hubbard, Sandra</t>
  </si>
  <si>
    <t>Hunt, Norman</t>
  </si>
  <si>
    <t>Jimenez, Dominic</t>
  </si>
  <si>
    <t>Keith, Thomas</t>
  </si>
  <si>
    <t>Keller, Jason</t>
  </si>
  <si>
    <t>Kelley, Nancy</t>
  </si>
  <si>
    <t>Kennedy, Kimberly</t>
  </si>
  <si>
    <t>Klein, Robert</t>
  </si>
  <si>
    <t>Kramer, Faye</t>
  </si>
  <si>
    <t>Lang, Dana</t>
  </si>
  <si>
    <t>Larsen, Lara</t>
  </si>
  <si>
    <t>Leonard, Paul</t>
  </si>
  <si>
    <t>Lester, Sherri</t>
  </si>
  <si>
    <t>Lewis, Frederick</t>
  </si>
  <si>
    <t>Lopez, Stephen</t>
  </si>
  <si>
    <t>Marsh, Cynthia</t>
  </si>
  <si>
    <t>Martin, Terry</t>
  </si>
  <si>
    <t>McClure, Gary</t>
  </si>
  <si>
    <t>McIntosh, Jeremy</t>
  </si>
  <si>
    <t>Mills, Melissa</t>
  </si>
  <si>
    <t>Morales, Linda</t>
  </si>
  <si>
    <t>Morrison, Julie</t>
  </si>
  <si>
    <t>Mueller, Philip</t>
  </si>
  <si>
    <t>Myers, Marc</t>
  </si>
  <si>
    <t>Newman, Aria</t>
  </si>
  <si>
    <t>Ortega, Jeffrey</t>
  </si>
  <si>
    <t>Ortiz, Cynthia</t>
  </si>
  <si>
    <t>Palmer, Terry</t>
  </si>
  <si>
    <t>Parks, Christopher</t>
  </si>
  <si>
    <t>Pennington, Gary</t>
  </si>
  <si>
    <t>Quinn, Cinnamon</t>
  </si>
  <si>
    <t>Ramirez, Keith</t>
  </si>
  <si>
    <t>Rivera, Timothy</t>
  </si>
  <si>
    <t>Rodgers, Daniel</t>
  </si>
  <si>
    <t>Rose, Mark</t>
  </si>
  <si>
    <t>Roy, Margarita</t>
  </si>
  <si>
    <t>Salazar, Ruben</t>
  </si>
  <si>
    <t>Salinas, Jon</t>
  </si>
  <si>
    <t>Sanchez, Greg</t>
  </si>
  <si>
    <t>Sandoval, James</t>
  </si>
  <si>
    <t>Schwartz, Joseph</t>
  </si>
  <si>
    <t>Sheppard, Curtis</t>
  </si>
  <si>
    <t>Sims, Don</t>
  </si>
  <si>
    <t>Singleton, David</t>
  </si>
  <si>
    <t>Snyder, Duane</t>
  </si>
  <si>
    <t>Sparks, Terri</t>
  </si>
  <si>
    <t>Stevenson, Michael</t>
  </si>
  <si>
    <t>Sweeney, Barbara</t>
  </si>
  <si>
    <t>Thomas, Shannon</t>
  </si>
  <si>
    <t>Ware, David</t>
  </si>
  <si>
    <t>Webster, David</t>
  </si>
  <si>
    <t>Welch, Michael</t>
  </si>
  <si>
    <t>Wilkerson, Claudia</t>
  </si>
  <si>
    <t>Willis, Ralph</t>
  </si>
  <si>
    <t>Zimmerman, Julian</t>
  </si>
  <si>
    <t>Bailey, Victor</t>
  </si>
  <si>
    <t>Research Center</t>
  </si>
  <si>
    <t>Dalton, Carol</t>
  </si>
  <si>
    <t>Leblanc, Jenny</t>
  </si>
  <si>
    <t>Montoya, Lisa</t>
  </si>
  <si>
    <t>Patterson, Robert</t>
  </si>
  <si>
    <t>Bradshaw, Sheryl</t>
  </si>
  <si>
    <t>Research/Development</t>
  </si>
  <si>
    <t>Flynn, Melissa</t>
  </si>
  <si>
    <t>Green, Kim</t>
  </si>
  <si>
    <t>Olsen, Ewan</t>
  </si>
  <si>
    <t>Riley, David</t>
  </si>
  <si>
    <t>ADC Count = 6</t>
  </si>
  <si>
    <t>Admin Training Count = 17</t>
  </si>
  <si>
    <t>Audit Services Count = 10</t>
  </si>
  <si>
    <t>Compliance Count = 4</t>
  </si>
  <si>
    <t>Engineering/Maintenance Count = 60</t>
  </si>
  <si>
    <t>Engineering/Operations Count = 8</t>
  </si>
  <si>
    <t>Environmental Health/Safety Count = 9</t>
  </si>
  <si>
    <t>Executive Education Count = 19</t>
  </si>
  <si>
    <t>International Clinical Safety Count = 6</t>
  </si>
  <si>
    <t>Logistics Count = 39</t>
  </si>
  <si>
    <t>Major Mfg Projects Count = 8</t>
  </si>
  <si>
    <t>Manufacturing Count = 154</t>
  </si>
  <si>
    <t>Manufacturing Admin Count = 7</t>
  </si>
  <si>
    <t>Operations Count = 55</t>
  </si>
  <si>
    <t>Peptide Chemistry Count = 21</t>
  </si>
  <si>
    <t>Pharmacokinetics Count = 4</t>
  </si>
  <si>
    <t>Process Development Count = 44</t>
  </si>
  <si>
    <t>Professional Training Group Count = 16</t>
  </si>
  <si>
    <t>Project &amp; Contract Services Count = 91</t>
  </si>
  <si>
    <t>Quality Assurance Count = 76</t>
  </si>
  <si>
    <t>Quality Control Count = 96</t>
  </si>
  <si>
    <t>Research Center Count = 5</t>
  </si>
  <si>
    <t>Research/Development Count = 6</t>
  </si>
  <si>
    <t>Carlson, Jeremy</t>
  </si>
  <si>
    <t>Brewer, Khurrum</t>
  </si>
  <si>
    <t>Rate</t>
  </si>
  <si>
    <t>Rating</t>
  </si>
  <si>
    <t>Service</t>
  </si>
  <si>
    <t>Date</t>
  </si>
  <si>
    <t>Number</t>
  </si>
  <si>
    <t>Employee
Name</t>
  </si>
  <si>
    <t>Tax</t>
  </si>
  <si>
    <t>Projected</t>
  </si>
  <si>
    <t>Job</t>
  </si>
  <si>
    <t>Current</t>
  </si>
  <si>
    <t>Years of</t>
  </si>
  <si>
    <t>Anniversary</t>
  </si>
  <si>
    <t>Hire</t>
  </si>
  <si>
    <t>Employment</t>
  </si>
  <si>
    <t>SS</t>
  </si>
  <si>
    <t>Employee</t>
  </si>
  <si>
    <t>6/23/2004 - 3/25/2006</t>
  </si>
  <si>
    <t>Los Altos, CA   94022</t>
  </si>
  <si>
    <t>4559 Calhoun Ct.</t>
  </si>
  <si>
    <t>Henrietta Herman</t>
  </si>
  <si>
    <t>10/30/2011 - 8/9/2013</t>
  </si>
  <si>
    <t>Atlanta, GA   30326</t>
  </si>
  <si>
    <t>3296 North Ave.</t>
  </si>
  <si>
    <t>Fiona Burns</t>
  </si>
  <si>
    <t>10/29/2013 - 6/28/2015</t>
  </si>
  <si>
    <t>Boston, MA   02108</t>
  </si>
  <si>
    <t>6258 Arthur St.</t>
  </si>
  <si>
    <t>Keith McCall</t>
  </si>
  <si>
    <t>3/20/2012 - 8/22/2013</t>
  </si>
  <si>
    <t>San Antonio, TX   78257</t>
  </si>
  <si>
    <t>6627 Cherry Lane</t>
  </si>
  <si>
    <t>Charles Rojas</t>
  </si>
  <si>
    <t>8/14/2005 - 4/11/2007</t>
  </si>
  <si>
    <t>Medina, WA   98039</t>
  </si>
  <si>
    <t>2514 Buren Ct.</t>
  </si>
  <si>
    <t>Mark Conner</t>
  </si>
  <si>
    <t>7/22/2013 - 4/11/2015</t>
  </si>
  <si>
    <t>Scarsdale, NY   10583</t>
  </si>
  <si>
    <t>9232 Quayle Ave.</t>
  </si>
  <si>
    <t>Stephanie Cox</t>
  </si>
  <si>
    <t>2/12/2011 - 8/3/2012</t>
  </si>
  <si>
    <t>Winnetka, IL   60093</t>
  </si>
  <si>
    <t>2403 Tompkins Lane</t>
  </si>
  <si>
    <t>Norman Schultz</t>
  </si>
  <si>
    <t>8/25/1998 - 5/23/2000</t>
  </si>
  <si>
    <t>Santa Monica, CA   90402</t>
  </si>
  <si>
    <t>7265 Morton Lane</t>
  </si>
  <si>
    <t>Richard Dixon</t>
  </si>
  <si>
    <t>10/16/2011 - 5/16/2013</t>
  </si>
  <si>
    <t>South Beach, FL   32963</t>
  </si>
  <si>
    <t>8294 Maple St.</t>
  </si>
  <si>
    <t>Guy Vincent</t>
  </si>
  <si>
    <t>12/24/1997 - 7/29/1999</t>
  </si>
  <si>
    <t>Larchmont, NY   10538</t>
  </si>
  <si>
    <t>7686 Elm Lane</t>
  </si>
  <si>
    <t>Mark Conley</t>
  </si>
  <si>
    <t>8/22/1989 - 5/26/1991</t>
  </si>
  <si>
    <t>Los Angeles, CA   90067</t>
  </si>
  <si>
    <t>9713 Monroe Blvd.</t>
  </si>
  <si>
    <t>Scott Rodriguez</t>
  </si>
  <si>
    <t>8/16/1998 - 12/31/1999</t>
  </si>
  <si>
    <t>Beverly Hills, CA   90210</t>
  </si>
  <si>
    <t>1541 Pierce Blvd.</t>
  </si>
  <si>
    <t>Donald Patel</t>
  </si>
  <si>
    <t>1/12/2013 - 11/17/2014</t>
  </si>
  <si>
    <t>Rancho Santa Fe, CA   92067</t>
  </si>
  <si>
    <t>6521 King Blvd.</t>
  </si>
  <si>
    <t>David Mercado</t>
  </si>
  <si>
    <t>9/11/2003 - 2/20/2005</t>
  </si>
  <si>
    <t>Richmond, VA   23219</t>
  </si>
  <si>
    <t>4216 Oak Ct.</t>
  </si>
  <si>
    <t>Teresa Baxter</t>
  </si>
  <si>
    <t>12/31/2002 - 8/28/2004</t>
  </si>
  <si>
    <t>New York, NY   10004</t>
  </si>
  <si>
    <t>8015 Eisenhower Ave.</t>
  </si>
  <si>
    <t>Zachary Tate</t>
  </si>
  <si>
    <t>3/5/2014 - 12/21/2015</t>
  </si>
  <si>
    <t>Rye, NY   10580</t>
  </si>
  <si>
    <t>6699 Coolidge Lane</t>
  </si>
  <si>
    <t>Karen Logan</t>
  </si>
  <si>
    <t>10/7/2013 - 6/12/2015</t>
  </si>
  <si>
    <t>Mountain Lakes, NJ   07046</t>
  </si>
  <si>
    <t>3218 Main Lane</t>
  </si>
  <si>
    <t>Athanasios Small</t>
  </si>
  <si>
    <t>4/4/2011 - 1/20/2013</t>
  </si>
  <si>
    <t>Lake Forest, IL   60045</t>
  </si>
  <si>
    <t>2370 Pine Blvd.</t>
  </si>
  <si>
    <t>Karen Pierce</t>
  </si>
  <si>
    <t>5/19/1999 - 3/30/2001</t>
  </si>
  <si>
    <t>Kenilworth, IL   60043</t>
  </si>
  <si>
    <t>2981 Truman St.</t>
  </si>
  <si>
    <t>Christopher Castro</t>
  </si>
  <si>
    <t>11/5/1991 - 8/1/1993</t>
  </si>
  <si>
    <t>Redwood City, CA   94062</t>
  </si>
  <si>
    <t>5506 Dallas Ct.</t>
  </si>
  <si>
    <t>Fredrick Rios</t>
  </si>
  <si>
    <t>12/9/1991 - 5/26/1993</t>
  </si>
  <si>
    <t>Darien, CT   06820</t>
  </si>
  <si>
    <t>4725 Garfield Blvd.</t>
  </si>
  <si>
    <t>Richard Campos</t>
  </si>
  <si>
    <t>6/25/2008 - 4/19/2010</t>
  </si>
  <si>
    <t>Scotts Corners, NY   10576</t>
  </si>
  <si>
    <t>4299 Clinton Ave.</t>
  </si>
  <si>
    <t>Kenneth Douglas</t>
  </si>
  <si>
    <t>6/27/1999 - 11/10/2000</t>
  </si>
  <si>
    <t>Norwalk, CT   06853</t>
  </si>
  <si>
    <t>9701 Ford Ct.</t>
  </si>
  <si>
    <t>Terry Gilmore</t>
  </si>
  <si>
    <t>8/12/1990 - 2/18/1992</t>
  </si>
  <si>
    <t>Kings Point, NY   11024</t>
  </si>
  <si>
    <t>9447 Washington Ave.</t>
  </si>
  <si>
    <t>Elena Miranda</t>
  </si>
  <si>
    <t>10/30/1991 - 7/7/1993</t>
  </si>
  <si>
    <t>Manhasset, NY   11030</t>
  </si>
  <si>
    <t>1344 Hayes Lane</t>
  </si>
  <si>
    <t>Kristin Randolph</t>
  </si>
  <si>
    <t>10/19/2000 - 3/17/2002</t>
  </si>
  <si>
    <t>Alpine, NJ   07620</t>
  </si>
  <si>
    <t>1571 Nixon Lane</t>
  </si>
  <si>
    <t>Randy Romero</t>
  </si>
  <si>
    <t>7/7/2001 - 12/6/2002</t>
  </si>
  <si>
    <t>Potomac, MD   20854</t>
  </si>
  <si>
    <t>8035 South Blvd.</t>
  </si>
  <si>
    <t>Eric Boone</t>
  </si>
  <si>
    <t>5/10/1989 - 3/13/1991</t>
  </si>
  <si>
    <t>Boca Grande, FL   33921</t>
  </si>
  <si>
    <t>9985 Willow Blvd.</t>
  </si>
  <si>
    <t>Chad Tran</t>
  </si>
  <si>
    <t>3/25/2005 - 2/17/2007</t>
  </si>
  <si>
    <t>Palo Alto, CA   94301</t>
  </si>
  <si>
    <t>2114 Taft Lane</t>
  </si>
  <si>
    <t>Christopher Padilla</t>
  </si>
  <si>
    <t>3/17/1996 - 12/16/1997</t>
  </si>
  <si>
    <t>Armonk, NY   10504</t>
  </si>
  <si>
    <t>3545 Tyler Ct.</t>
  </si>
  <si>
    <t>Jose Cummings</t>
  </si>
  <si>
    <t>2/18/1992 - 8/19/1993</t>
  </si>
  <si>
    <t>Houston, TX   77002</t>
  </si>
  <si>
    <t>5146 Reagan St.</t>
  </si>
  <si>
    <t>Michelle Lowe</t>
  </si>
  <si>
    <t>10/11/2007 - 3/18/2009</t>
  </si>
  <si>
    <t>Old Westbury, NY   11568</t>
  </si>
  <si>
    <t>7741 Garner Ct.</t>
  </si>
  <si>
    <t>Marc Reese</t>
  </si>
  <si>
    <t>11/6/1996 - 10/5/1998</t>
  </si>
  <si>
    <t>Chappaqua, NY   10514</t>
  </si>
  <si>
    <t>18 Burr St.</t>
  </si>
  <si>
    <t>Jaime Chen</t>
  </si>
  <si>
    <t>5/10/1994 - 1/25/1996</t>
  </si>
  <si>
    <t>Naples Park, FL   34108</t>
  </si>
  <si>
    <t>7727 South Blvd.</t>
  </si>
  <si>
    <t>Shari Mathis</t>
  </si>
  <si>
    <t>6/12/2015 - 3/16/2017</t>
  </si>
  <si>
    <t xml:space="preserve"> 345 Kennedy St.</t>
  </si>
  <si>
    <t>Lynne Wagner</t>
  </si>
  <si>
    <t>1/4/2013 - 10/29/2014</t>
  </si>
  <si>
    <t>Belvedere, CA   94920</t>
  </si>
  <si>
    <t>2605 Wilson Ct.</t>
  </si>
  <si>
    <t>Dennis Clarke</t>
  </si>
  <si>
    <t>5/5/2013 - 1/12/2015</t>
  </si>
  <si>
    <t>Chicago, IL   60606</t>
  </si>
  <si>
    <t>180 Carter St.</t>
  </si>
  <si>
    <t>Francisco Oliver</t>
  </si>
  <si>
    <t>9/18/2006 - 2/1/2008</t>
  </si>
  <si>
    <t>Longboat Key, FL   34228</t>
  </si>
  <si>
    <t>8376 Spruce Ave.</t>
  </si>
  <si>
    <t>Joan Estrada</t>
  </si>
  <si>
    <t>2/27/2007 - 11/12/2008</t>
  </si>
  <si>
    <t>Newport Coast, CA   92657</t>
  </si>
  <si>
    <t>9416 Fairbanks Ct.</t>
  </si>
  <si>
    <t>Jerry Townsend</t>
  </si>
  <si>
    <t>10/27/2003 - 6/9/2005</t>
  </si>
  <si>
    <t>Essex Fells, NJ   07021</t>
  </si>
  <si>
    <t>4967 Harding Ct.</t>
  </si>
  <si>
    <t>Ted Wise</t>
  </si>
  <si>
    <t>5/14/2000 - 4/3/2002</t>
  </si>
  <si>
    <t>Dover, MA   02030</t>
  </si>
  <si>
    <t>4675 Hamlin Ave.</t>
  </si>
  <si>
    <t>Garret Santos</t>
  </si>
  <si>
    <t>10/18/1989 - 8/8/1991</t>
  </si>
  <si>
    <t>Great Falls, VA   22066</t>
  </si>
  <si>
    <t>8945 Marshall Blvd.</t>
  </si>
  <si>
    <t>Rolin Evans</t>
  </si>
  <si>
    <t>4/28/1995 - 1/3/1997</t>
  </si>
  <si>
    <t>Far Hills, NJ   07931</t>
  </si>
  <si>
    <t>321 Hendricks Lane</t>
  </si>
  <si>
    <t>Brent Rich</t>
  </si>
  <si>
    <t>5/21/2000 - 1/10/2002</t>
  </si>
  <si>
    <t>Bedford, NY   10506</t>
  </si>
  <si>
    <t>5907 Roosevelt Ct.</t>
  </si>
  <si>
    <t>Mark Jordan</t>
  </si>
  <si>
    <t>4/11/1991 - 10/10/1992</t>
  </si>
  <si>
    <t>Hunters Creek Village, TX   77024</t>
  </si>
  <si>
    <t>7686 Stevenson Ave.</t>
  </si>
  <si>
    <t>Michael Noble</t>
  </si>
  <si>
    <t>11/20/2012 - 9/10/2014</t>
  </si>
  <si>
    <t>Dallas, TX   75205</t>
  </si>
  <si>
    <t>6694 Fillmore Lane</t>
  </si>
  <si>
    <t>Leigh Newton</t>
  </si>
  <si>
    <t>3/13/2012 - 8/12/2013</t>
  </si>
  <si>
    <t>Naples, FL   34102</t>
  </si>
  <si>
    <t>9274 Jackson Blvd.</t>
  </si>
  <si>
    <t>Davin Gross</t>
  </si>
  <si>
    <t>7/12/2006 - 4/10/2008</t>
  </si>
  <si>
    <t>Charlotte, NC   28207</t>
  </si>
  <si>
    <t>4192 Bush St.</t>
  </si>
  <si>
    <t>Michael Morse</t>
  </si>
  <si>
    <t>9/8/1999 - 8/6/2001</t>
  </si>
  <si>
    <t>Weston, MA   02493</t>
  </si>
  <si>
    <t>2181 Rockefeller Lane</t>
  </si>
  <si>
    <t>Rick Gallegos</t>
  </si>
  <si>
    <t>4/25/1988 - 1/26/1990</t>
  </si>
  <si>
    <t>543 Mondale Lane</t>
  </si>
  <si>
    <t>Patrick Curtis</t>
  </si>
  <si>
    <t>4/27/1998 - 2/10/2000</t>
  </si>
  <si>
    <t>Palm Beach, FL   33480</t>
  </si>
  <si>
    <t>3513 Breckinridge Blvd.</t>
  </si>
  <si>
    <t>Charles Lee</t>
  </si>
  <si>
    <t>7/20/1997 - 1/10/1999</t>
  </si>
  <si>
    <t>Mendham, NJ   07945</t>
  </si>
  <si>
    <t>7264 Main Lane</t>
  </si>
  <si>
    <t>Chris Montgomery</t>
  </si>
  <si>
    <t>10/27/1990 - 4/16/1992</t>
  </si>
  <si>
    <t>7222 Sherman St.</t>
  </si>
  <si>
    <t>Kenneth Vazquez</t>
  </si>
  <si>
    <t>3/13/1996 - 1/27/1998</t>
  </si>
  <si>
    <t>Rancho Santa Fe, CA   92091</t>
  </si>
  <si>
    <t>7670 Cheney Ave.</t>
  </si>
  <si>
    <t>Mark Lara</t>
  </si>
  <si>
    <t>3/3/2007 - 8/18/2008</t>
  </si>
  <si>
    <t>Greenwich, CT   06830</t>
  </si>
  <si>
    <t>2333 McKinley Ave.</t>
  </si>
  <si>
    <t>Anne Gates</t>
  </si>
  <si>
    <t>11/21/1994 - 9/14/1996</t>
  </si>
  <si>
    <t>Paradise Valley, AZ   85253</t>
  </si>
  <si>
    <t>225 Colfax Ave.</t>
  </si>
  <si>
    <t>Deon Hale</t>
  </si>
  <si>
    <t>9/3/2001 - 4/18/2003</t>
  </si>
  <si>
    <t>Incline Village, NV   89451</t>
  </si>
  <si>
    <t>1602 Harrison St.</t>
  </si>
  <si>
    <t>Nobuko Shaffer</t>
  </si>
  <si>
    <t>3/19/1995 - 12/27/1996</t>
  </si>
  <si>
    <t>New Canaan, CT   06840</t>
  </si>
  <si>
    <t>662 Curtis Ct.</t>
  </si>
  <si>
    <t>Tim Woodward</t>
  </si>
  <si>
    <t>3/13/2001 - 8/21/2002</t>
  </si>
  <si>
    <t>Cold Spring Harbor, NY   11724</t>
  </si>
  <si>
    <t>1317 Cleveland Blvd.</t>
  </si>
  <si>
    <t>Svetlana Hardy</t>
  </si>
  <si>
    <t>6/11/2009 - 4/24/2011</t>
  </si>
  <si>
    <t>Tulsa, OK   74103</t>
  </si>
  <si>
    <t>1144 Gerry Blvd.</t>
  </si>
  <si>
    <t>Robert Shields</t>
  </si>
  <si>
    <t>10/27/1998 - 3/12/2000</t>
  </si>
  <si>
    <t>Santa Barbara, CA   93108</t>
  </si>
  <si>
    <t>4318 Madison Ave.</t>
  </si>
  <si>
    <t>Benning Nunez</t>
  </si>
  <si>
    <t>2/12/1996 - 9/6/1997</t>
  </si>
  <si>
    <t>Wilmington, DE   19807</t>
  </si>
  <si>
    <t>5882 Dawes Blvd.</t>
  </si>
  <si>
    <t>Benjamin Young</t>
  </si>
  <si>
    <t>11/21/2004 - 8/10/2006</t>
  </si>
  <si>
    <t>Ladue, MO   63124</t>
  </si>
  <si>
    <t>33 Watson Lane</t>
  </si>
  <si>
    <t>Nathan Robertson</t>
  </si>
  <si>
    <t>6/20/1989 - 5/11/1991</t>
  </si>
  <si>
    <t>Atherton, CA   94027</t>
  </si>
  <si>
    <t>93 Roosevelt Blvd.</t>
  </si>
  <si>
    <t>Justin Bass</t>
  </si>
  <si>
    <t>8/1/2012 - 2/5/2014</t>
  </si>
  <si>
    <t>Bernardsville, NJ   07924</t>
  </si>
  <si>
    <t>1808 Wheeler Ct.</t>
  </si>
  <si>
    <t>David Adams</t>
  </si>
  <si>
    <t>6/14/2011 - 11/5/2012</t>
  </si>
  <si>
    <t>Wilson, WY   83014</t>
  </si>
  <si>
    <t>1730 Barkley St.</t>
  </si>
  <si>
    <t>Dac Calhoun</t>
  </si>
  <si>
    <t>12/29/2004 - 9/9/2006</t>
  </si>
  <si>
    <t>Portola Valley, CA   94028</t>
  </si>
  <si>
    <t>6136 Harrison Ct.</t>
  </si>
  <si>
    <t>Jan Ramos</t>
  </si>
  <si>
    <t>12/24/1991 - 10/2/1993</t>
  </si>
  <si>
    <t>Fort Worth, TX   76102</t>
  </si>
  <si>
    <t>4247 Hoover Ct.</t>
  </si>
  <si>
    <t>Jon Gregory</t>
  </si>
  <si>
    <t>6/25/1997 - 3/8/1999</t>
  </si>
  <si>
    <t>Westport, CT   06880</t>
  </si>
  <si>
    <t>887 Harrison St.</t>
  </si>
  <si>
    <t>Brenda Barnett</t>
  </si>
  <si>
    <t>2/21/2009 - 9/27/2010</t>
  </si>
  <si>
    <t>Sherborn, MA   01770</t>
  </si>
  <si>
    <t>4915 Adams Ct.</t>
  </si>
  <si>
    <t>Robert Daniel</t>
  </si>
  <si>
    <t>9/12/2007 - 4/26/2009</t>
  </si>
  <si>
    <t>Franklin Lakes, NJ   07417</t>
  </si>
  <si>
    <t>5800 Humphrey Blvd.</t>
  </si>
  <si>
    <t>Shira Nelson</t>
  </si>
  <si>
    <t>11/30/2012 - 7/7/2014</t>
  </si>
  <si>
    <t>Rumson, NJ   07760</t>
  </si>
  <si>
    <t>2247 Grant Ave.</t>
  </si>
  <si>
    <t>Robin Hutchinson</t>
  </si>
  <si>
    <t>11/14/1994 - 4/6/1996</t>
  </si>
  <si>
    <t>Belair Beach, FL   33786</t>
  </si>
  <si>
    <t>8028 Wallace Ave.</t>
  </si>
  <si>
    <t>Leonard Figueroa</t>
  </si>
  <si>
    <t>1/10/2001 - 11/11/2002</t>
  </si>
  <si>
    <t>Hinsdale, IL   60521</t>
  </si>
  <si>
    <t>550 Polk Ave.</t>
  </si>
  <si>
    <t>Randy Nixon</t>
  </si>
  <si>
    <t>4/26/1991 - 11/18/1992</t>
  </si>
  <si>
    <t>Weston, CT   06883</t>
  </si>
  <si>
    <t>6436 Taft St.</t>
  </si>
  <si>
    <t>Scott McDowell</t>
  </si>
  <si>
    <t>8/10/2001 - 4/20/2003</t>
  </si>
  <si>
    <t>San Francisco, CA   94111</t>
  </si>
  <si>
    <t>7217 Lincoln Lane</t>
  </si>
  <si>
    <t>Michael Molina</t>
  </si>
  <si>
    <t>7/7/1997 - 2/24/1999</t>
  </si>
  <si>
    <t>The Plains, VA   20198</t>
  </si>
  <si>
    <t>8001 Gore St.</t>
  </si>
  <si>
    <t>Timothy Park</t>
  </si>
  <si>
    <t>11/6/2011 - 6/7/2013</t>
  </si>
  <si>
    <t>Saddle River, NJ   07458</t>
  </si>
  <si>
    <t>3842 Harrison St.</t>
  </si>
  <si>
    <t>John Lloyd</t>
  </si>
  <si>
    <t>3/30/2007 - 8/22/2008</t>
  </si>
  <si>
    <t>Glencoe, IL   60022</t>
  </si>
  <si>
    <t>7759 Johnson Ave.</t>
  </si>
  <si>
    <t>Stephen Silva</t>
  </si>
  <si>
    <t>Board Member Dates</t>
  </si>
  <si>
    <t>Member Since:</t>
  </si>
  <si>
    <t>City, State ZIP</t>
  </si>
  <si>
    <t>Address</t>
  </si>
  <si>
    <t>Contact</t>
  </si>
  <si>
    <t>OS BOND CONSTRUCTION (642)</t>
  </si>
  <si>
    <t>Open Space</t>
  </si>
  <si>
    <t>OS S/U TAX REV BOND ACCT (641)</t>
  </si>
  <si>
    <t>OS SALES TAX FUND (640)</t>
  </si>
  <si>
    <t>Total OS Bond Construction Fund</t>
  </si>
  <si>
    <t>Transfer from Other Funds (370-**)</t>
  </si>
  <si>
    <t>Interest Earnings (361-*)</t>
  </si>
  <si>
    <t>Difference</t>
  </si>
  <si>
    <t>Budget</t>
  </si>
  <si>
    <t>Total</t>
  </si>
  <si>
    <t>Year</t>
  </si>
  <si>
    <t>OS BOND CONSTRUCTION (342)</t>
  </si>
  <si>
    <t>Total OS S/U Tax Rev Bond Acct</t>
  </si>
  <si>
    <t>Intergovernment Revenue (330-**)</t>
  </si>
  <si>
    <t>OS S/U TAX REV BOND ACCT (341)</t>
  </si>
  <si>
    <t>Total OS Sales Tax Fund</t>
  </si>
  <si>
    <t>Sale of Land (390-**)</t>
  </si>
  <si>
    <t>Rents/Royalties (362*)</t>
  </si>
  <si>
    <t>Unrealized Gain/Loss (361-70)</t>
  </si>
  <si>
    <t>Interest Income - 2010A Bonds (361-31)</t>
  </si>
  <si>
    <t>Interest Income -Operating (361-20)</t>
  </si>
  <si>
    <t>Misc Revenue (360-10)</t>
  </si>
  <si>
    <t>Taxpayer Assd Sales Tax Accrual (313-99)</t>
  </si>
  <si>
    <t>Taxpayer Assd Use Tax Accrual (313-98)</t>
  </si>
  <si>
    <t>Use Tax (313-11)</t>
  </si>
  <si>
    <t>Sales Tax (313-10)</t>
  </si>
  <si>
    <t>Fund Type</t>
  </si>
  <si>
    <t>Fund</t>
  </si>
  <si>
    <t>Amount</t>
  </si>
  <si>
    <t>Sheet</t>
  </si>
  <si>
    <t>Seq</t>
  </si>
  <si>
    <t>Data layout example #1</t>
  </si>
  <si>
    <t>Data layout example #2 Reporting Subtotals</t>
  </si>
  <si>
    <t>Multirow Headers</t>
  </si>
  <si>
    <t>Data layout example #3 Reporting</t>
  </si>
  <si>
    <t>Contact List</t>
  </si>
  <si>
    <t>Real World Example</t>
  </si>
  <si>
    <t>List</t>
  </si>
  <si>
    <t>Transform List to table</t>
  </si>
  <si>
    <t>11S</t>
  </si>
  <si>
    <t>ElectroCity</t>
  </si>
  <si>
    <t>SW</t>
  </si>
  <si>
    <t>Televisions</t>
  </si>
  <si>
    <t>Pardo, Don</t>
  </si>
  <si>
    <t>SE</t>
  </si>
  <si>
    <t>Clark, Dick</t>
  </si>
  <si>
    <t>NW</t>
  </si>
  <si>
    <t>Mann, Ed</t>
  </si>
  <si>
    <t>Reimers, Ed</t>
  </si>
  <si>
    <t>Roman, Barb</t>
  </si>
  <si>
    <t>NE</t>
  </si>
  <si>
    <t>Morgan, Gil</t>
  </si>
  <si>
    <t>Furn, Betty</t>
  </si>
  <si>
    <t>Popiel, Ron</t>
  </si>
  <si>
    <t>Loman, Willy</t>
  </si>
  <si>
    <t>Kitchen Center</t>
  </si>
  <si>
    <t>Folger, Art</t>
  </si>
  <si>
    <t>Home USA</t>
  </si>
  <si>
    <t>Home Emporium</t>
  </si>
  <si>
    <t>Stout, Mary</t>
  </si>
  <si>
    <t>Appliance Mart</t>
  </si>
  <si>
    <t>Short, Dina</t>
  </si>
  <si>
    <t>Refrigerators</t>
  </si>
  <si>
    <t>Dryers</t>
  </si>
  <si>
    <t>Dishwashers</t>
  </si>
  <si>
    <t>Clothes Washers</t>
  </si>
  <si>
    <t>Items</t>
  </si>
  <si>
    <t>Customer</t>
  </si>
  <si>
    <t>Region</t>
  </si>
  <si>
    <t>Product</t>
  </si>
  <si>
    <t>Salesperson</t>
  </si>
  <si>
    <t>Large Product Sales - 2010 and 2011</t>
  </si>
  <si>
    <t>Appliance Sales</t>
  </si>
  <si>
    <t>Accounting</t>
  </si>
  <si>
    <t>Validation</t>
  </si>
  <si>
    <t>Schroeder, Ben</t>
  </si>
  <si>
    <t>Moss, Ed</t>
  </si>
  <si>
    <t>Levene, Shelley</t>
  </si>
  <si>
    <t>Hutton, Lauren</t>
  </si>
  <si>
    <t>Tilley, Ernest</t>
  </si>
  <si>
    <t>Furness, Betty</t>
  </si>
  <si>
    <t>Babowsky, Bill</t>
  </si>
  <si>
    <t>Sales</t>
  </si>
  <si>
    <t>Marketing</t>
  </si>
  <si>
    <t>Lopez Maria</t>
  </si>
  <si>
    <t>Lewis, Fred</t>
  </si>
  <si>
    <t>Pena, Erica</t>
  </si>
  <si>
    <t>Ramsey, Carol</t>
  </si>
  <si>
    <t>Trevino, Ed</t>
  </si>
  <si>
    <t>Transpose Data</t>
  </si>
  <si>
    <t>http://office.microsoft.com/assistance/asstvid.aspx?assetid=XT101493291033&amp;vwidth=1044&amp;vheight=788&amp;type=flash&amp;CTT=11&amp;Origin=HA101491511033</t>
  </si>
  <si>
    <t>Excel 2003-2007 converter</t>
  </si>
  <si>
    <t>% Expenses Change</t>
  </si>
  <si>
    <t>% Profits Change</t>
  </si>
  <si>
    <t>% Sales Change</t>
  </si>
  <si>
    <t>YTD Average</t>
  </si>
  <si>
    <t>YTD Profits</t>
  </si>
  <si>
    <t>Profits</t>
  </si>
  <si>
    <t>Expenses</t>
  </si>
  <si>
    <t>Average</t>
  </si>
  <si>
    <t>Washington State Data</t>
  </si>
  <si>
    <t>Move Columns(s)</t>
  </si>
  <si>
    <t>Move Row(s)</t>
  </si>
  <si>
    <t>2013 8</t>
  </si>
  <si>
    <t>8 2013</t>
  </si>
  <si>
    <t>2013 3</t>
  </si>
  <si>
    <t>3 2013</t>
  </si>
  <si>
    <t>2013 10</t>
  </si>
  <si>
    <t>10 2013</t>
  </si>
  <si>
    <t>2013 4</t>
  </si>
  <si>
    <t>4 2013</t>
  </si>
  <si>
    <t>2014 10</t>
  </si>
  <si>
    <t>10 2014</t>
  </si>
  <si>
    <t>2013 12</t>
  </si>
  <si>
    <t>12 2013</t>
  </si>
  <si>
    <t>2013 2</t>
  </si>
  <si>
    <t>2 2013</t>
  </si>
  <si>
    <t>2013 11</t>
  </si>
  <si>
    <t>11 2013</t>
  </si>
  <si>
    <t>2013 7</t>
  </si>
  <si>
    <t>7 2013</t>
  </si>
  <si>
    <t>2013 6</t>
  </si>
  <si>
    <t>6 2013</t>
  </si>
  <si>
    <t>2014 12</t>
  </si>
  <si>
    <t>12 2014</t>
  </si>
  <si>
    <t>2014 6</t>
  </si>
  <si>
    <t>6 2014</t>
  </si>
  <si>
    <t>2013 5</t>
  </si>
  <si>
    <t>5 2013</t>
  </si>
  <si>
    <t>2014 9</t>
  </si>
  <si>
    <t>9 2014</t>
  </si>
  <si>
    <t>2014 4</t>
  </si>
  <si>
    <t>4 2014</t>
  </si>
  <si>
    <t>2014 7</t>
  </si>
  <si>
    <t>7 2014</t>
  </si>
  <si>
    <t>2014 5</t>
  </si>
  <si>
    <t>5 2014</t>
  </si>
  <si>
    <t>2014 3</t>
  </si>
  <si>
    <t>3 2014</t>
  </si>
  <si>
    <t>2013 9</t>
  </si>
  <si>
    <t>9 2013</t>
  </si>
  <si>
    <t>2014 1</t>
  </si>
  <si>
    <t>1 2014</t>
  </si>
  <si>
    <t>2014 8</t>
  </si>
  <si>
    <t>8 2014</t>
  </si>
  <si>
    <t>2013 1</t>
  </si>
  <si>
    <t>1 2013</t>
  </si>
  <si>
    <t>2014 11</t>
  </si>
  <si>
    <t>11 2014</t>
  </si>
  <si>
    <t>2014 2</t>
  </si>
  <si>
    <t>2 2014</t>
  </si>
  <si>
    <t>2013 Jan 12</t>
  </si>
  <si>
    <t>2014 Feb 14</t>
  </si>
  <si>
    <t>2013 Jan 1</t>
  </si>
  <si>
    <t>2014 AUG 12</t>
  </si>
  <si>
    <t>2013 Jun 1</t>
  </si>
  <si>
    <t>2014 Jan 1</t>
  </si>
  <si>
    <t>2013 MAR 13</t>
  </si>
  <si>
    <t>2013 Sep 21</t>
  </si>
  <si>
    <t>Year Month Day</t>
  </si>
  <si>
    <t>Year Month</t>
  </si>
  <si>
    <t xml:space="preserve">Month Year </t>
  </si>
  <si>
    <t>Grouped Rows</t>
  </si>
  <si>
    <t>Date Formats</t>
  </si>
  <si>
    <t>Empty Rows</t>
  </si>
  <si>
    <t>947</t>
  </si>
  <si>
    <t>385</t>
  </si>
  <si>
    <t>936</t>
  </si>
  <si>
    <t>384</t>
  </si>
  <si>
    <t>879</t>
  </si>
  <si>
    <t>383</t>
  </si>
  <si>
    <t>844</t>
  </si>
  <si>
    <t>382</t>
  </si>
  <si>
    <t>712</t>
  </si>
  <si>
    <t>381</t>
  </si>
  <si>
    <t>658</t>
  </si>
  <si>
    <t>380</t>
  </si>
  <si>
    <t>625</t>
  </si>
  <si>
    <t>379</t>
  </si>
  <si>
    <t>613</t>
  </si>
  <si>
    <t>378</t>
  </si>
  <si>
    <t>600</t>
  </si>
  <si>
    <t>377</t>
  </si>
  <si>
    <t>531</t>
  </si>
  <si>
    <t>376</t>
  </si>
  <si>
    <t>438</t>
  </si>
  <si>
    <t>375</t>
  </si>
  <si>
    <t>420</t>
  </si>
  <si>
    <t>374</t>
  </si>
  <si>
    <t>396</t>
  </si>
  <si>
    <t>373</t>
  </si>
  <si>
    <t>366</t>
  </si>
  <si>
    <t>372</t>
  </si>
  <si>
    <t>339</t>
  </si>
  <si>
    <t>371</t>
  </si>
  <si>
    <t>294</t>
  </si>
  <si>
    <t>370</t>
  </si>
  <si>
    <t>262</t>
  </si>
  <si>
    <t>369</t>
  </si>
  <si>
    <t>199</t>
  </si>
  <si>
    <t>368</t>
  </si>
  <si>
    <t>145</t>
  </si>
  <si>
    <t>367</t>
  </si>
  <si>
    <t>126</t>
  </si>
  <si>
    <t>Numbers formatted as Text</t>
  </si>
  <si>
    <t>*24</t>
  </si>
  <si>
    <t>Pay</t>
  </si>
  <si>
    <t>PayRate/Hour</t>
  </si>
  <si>
    <t>Hours Worked</t>
  </si>
  <si>
    <t>*8/24</t>
  </si>
  <si>
    <t>Days Worked</t>
  </si>
  <si>
    <t>Text to Numbers</t>
  </si>
  <si>
    <t>Date to Time</t>
  </si>
  <si>
    <t>2.91%</t>
  </si>
  <si>
    <t>Jones, Tom</t>
  </si>
  <si>
    <t>Makkey, James</t>
  </si>
  <si>
    <t xml:space="preserve"> </t>
  </si>
  <si>
    <t>Column1</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</si>
</sst>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quot;$&quot;* #,##0.00_);_(&quot;$&quot;* \(#,##0.00\);_(&quot;$&quot;* &quot;-&quot;??_);_(@_)"/>
    <numFmt numFmtId="43" formatCode="_(* #,##0.00_);_(* \(#,##0.00\);_(* &quot;-&quot;??_);_(@_)"/>
    <numFmt numFmtId="164" formatCode="000\-00\-0000"/>
    <numFmt numFmtId="165" formatCode="[&lt;=9999999]###\-####;\(###\)\ ###\-####"/>
    <numFmt numFmtId="166" formatCode="_(* #,##0_);_(* \(#,##0\);_(* &quot;-&quot;??_);_(@_)"/>
    <numFmt numFmtId="167" formatCode="0.00%;\(0.00%\)"/>
    <numFmt numFmtId="168" formatCode="0_);\(0\)"/>
    <numFmt numFmtId="169" formatCode="_(* #,##0.0_);_(* \(#,##0.0\);_(* &quot;-&quot;??_);_(@_)"/>
    <numFmt numFmtId="170" formatCode="m/d/yy;@"/>
    <numFmt numFmtId="171" formatCode="yyyy"/>
    <numFmt numFmtId="172" formatCode="m/d/yyyy;@"/>
    <numFmt numFmtId="173" formatCode="0.0%;[Red]\-0.0%"/>
    <numFmt numFmtId="174" formatCode="0.0%"/>
    <numFmt numFmtId="175" formatCode="[h]:mm"/>
    <numFmt numFmtId="176" formatCode="h:mm;@"/>
  </numFmts>
  <fonts count="30" x14ac:knownFonts="1">
    <font>
      <sz val="11"/>
      <color theme="1"/>
      <name val="Calibri"/>
      <family val="2"/>
      <scheme val="minor"/>
    </font>
    <font>
      <b/>
      <sz val="11"/>
      <color theme="1"/>
      <name val="Calibri"/>
      <family val="2"/>
      <scheme val="minor"/>
    </font>
    <font>
      <sz val="11"/>
      <color theme="1"/>
      <name val="Calibri"/>
      <family val="2"/>
      <scheme val="minor"/>
    </font>
    <font>
      <b/>
      <sz val="9"/>
      <color theme="0"/>
      <name val="Calibri"/>
      <family val="2"/>
      <scheme val="minor"/>
    </font>
    <font>
      <sz val="9"/>
      <color theme="1"/>
      <name val="Calibri"/>
      <family val="2"/>
      <scheme val="minor"/>
    </font>
    <font>
      <sz val="9"/>
      <color theme="0"/>
      <name val="Calibri"/>
      <family val="2"/>
      <scheme val="minor"/>
    </font>
    <font>
      <sz val="14"/>
      <color theme="0"/>
      <name val="Calibri"/>
      <family val="2"/>
      <scheme val="minor"/>
    </font>
    <font>
      <sz val="16"/>
      <color theme="0"/>
      <name val="Calibri"/>
      <family val="2"/>
      <scheme val="minor"/>
    </font>
    <font>
      <sz val="10"/>
      <name val="Arial"/>
      <family val="2"/>
    </font>
    <font>
      <b/>
      <sz val="11"/>
      <name val="Calibri"/>
      <family val="2"/>
    </font>
    <font>
      <sz val="11"/>
      <name val="Calibri"/>
      <family val="2"/>
    </font>
    <font>
      <b/>
      <i/>
      <sz val="11"/>
      <color indexed="10"/>
      <name val="Calibri"/>
      <family val="2"/>
    </font>
    <font>
      <b/>
      <sz val="10"/>
      <name val="Century Gothic"/>
      <family val="2"/>
    </font>
    <font>
      <sz val="10"/>
      <name val="Century Gothic"/>
      <family val="2"/>
    </font>
    <font>
      <sz val="12"/>
      <name val="Helv"/>
    </font>
    <font>
      <sz val="12"/>
      <name val="Calibri"/>
      <family val="2"/>
      <scheme val="minor"/>
    </font>
    <font>
      <b/>
      <sz val="12"/>
      <name val="Calibri"/>
      <family val="2"/>
      <scheme val="minor"/>
    </font>
    <font>
      <sz val="11"/>
      <name val="Calibri"/>
      <family val="2"/>
      <scheme val="minor"/>
    </font>
    <font>
      <b/>
      <sz val="20"/>
      <name val="Calibri"/>
      <family val="2"/>
      <scheme val="minor"/>
    </font>
    <font>
      <sz val="10"/>
      <name val="Arial"/>
      <family val="2"/>
    </font>
    <font>
      <b/>
      <sz val="11"/>
      <color theme="1"/>
      <name val="Calibri"/>
      <family val="2"/>
    </font>
    <font>
      <sz val="10"/>
      <name val="Calibri"/>
      <family val="2"/>
    </font>
    <font>
      <b/>
      <sz val="10"/>
      <name val="Calibri"/>
      <family val="2"/>
    </font>
    <font>
      <b/>
      <sz val="14"/>
      <name val="Calibri"/>
      <family val="2"/>
    </font>
    <font>
      <b/>
      <sz val="14"/>
      <name val="Arial"/>
      <family val="2"/>
    </font>
    <font>
      <sz val="11"/>
      <color theme="1"/>
      <name val="Calibri"/>
      <family val="2"/>
    </font>
    <font>
      <b/>
      <sz val="9"/>
      <color indexed="81"/>
      <name val="Tahoma"/>
      <family val="2"/>
    </font>
    <font>
      <sz val="9"/>
      <color indexed="81"/>
      <name val="Tahoma"/>
      <family val="2"/>
    </font>
    <font>
      <sz val="11"/>
      <name val="Calibri"/>
      <family val="2"/>
    </font>
    <font>
      <b/>
      <i/>
      <sz val="11"/>
      <color theme="1"/>
      <name val="Calibri"/>
      <family val="2"/>
      <scheme val="minor"/>
    </font>
  </fonts>
  <fills count="13">
    <fill>
      <patternFill patternType="none"/>
    </fill>
    <fill>
      <patternFill patternType="gray125"/>
    </fill>
    <fill>
      <patternFill patternType="solid">
        <fgColor rgb="FF0000CC"/>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indexed="42"/>
        <bgColor indexed="64"/>
      </patternFill>
    </fill>
    <fill>
      <patternFill patternType="solid">
        <fgColor indexed="43"/>
        <bgColor indexed="64"/>
      </patternFill>
    </fill>
    <fill>
      <patternFill patternType="solid">
        <fgColor theme="7"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indexed="13"/>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right/>
      <top/>
      <bottom style="thin">
        <color indexed="2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0">
    <xf numFmtId="0" fontId="0" fillId="0" borderId="0"/>
    <xf numFmtId="44" fontId="2" fillId="0" borderId="0" applyFont="0" applyFill="0" applyBorder="0" applyAlignment="0" applyProtection="0"/>
    <xf numFmtId="0" fontId="8" fillId="0" borderId="0"/>
    <xf numFmtId="43" fontId="8" fillId="0" borderId="0" applyFont="0" applyFill="0" applyBorder="0" applyAlignment="0" applyProtection="0"/>
    <xf numFmtId="9" fontId="8" fillId="0" borderId="0" applyFont="0" applyFill="0" applyBorder="0" applyAlignment="0" applyProtection="0"/>
    <xf numFmtId="37" fontId="14" fillId="0" borderId="0"/>
    <xf numFmtId="0" fontId="19" fillId="0" borderId="0"/>
    <xf numFmtId="44" fontId="8" fillId="0" borderId="0" applyFont="0" applyFill="0" applyBorder="0" applyAlignment="0" applyProtection="0"/>
    <xf numFmtId="0" fontId="25" fillId="0" borderId="0"/>
    <xf numFmtId="43" fontId="25" fillId="0" borderId="0" applyFont="0" applyFill="0" applyBorder="0" applyAlignment="0" applyProtection="0"/>
  </cellStyleXfs>
  <cellXfs count="264">
    <xf numFmtId="0" fontId="0" fillId="0" borderId="0" xfId="0"/>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vertical="center"/>
    </xf>
    <xf numFmtId="0" fontId="4" fillId="0" borderId="0" xfId="0" applyFont="1"/>
    <xf numFmtId="0" fontId="4" fillId="0" borderId="1" xfId="0" applyFont="1" applyBorder="1" applyAlignment="1">
      <alignment horizontal="left" indent="1"/>
    </xf>
    <xf numFmtId="0" fontId="4" fillId="0" borderId="0" xfId="0" applyFont="1" applyAlignment="1">
      <alignment horizontal="left" indent="1"/>
    </xf>
    <xf numFmtId="0" fontId="4" fillId="0" borderId="1" xfId="0" applyFont="1" applyBorder="1"/>
    <xf numFmtId="15" fontId="4" fillId="0" borderId="1" xfId="0" applyNumberFormat="1" applyFont="1" applyBorder="1"/>
    <xf numFmtId="15" fontId="4" fillId="0" borderId="1" xfId="0" applyNumberFormat="1" applyFont="1" applyBorder="1" applyAlignment="1">
      <alignment horizontal="left" indent="1"/>
    </xf>
    <xf numFmtId="0" fontId="4" fillId="0" borderId="1" xfId="0" applyFont="1" applyFill="1" applyBorder="1" applyAlignment="1">
      <alignment horizontal="left" indent="1"/>
    </xf>
    <xf numFmtId="44" fontId="4" fillId="0" borderId="1" xfId="1" applyFont="1" applyBorder="1" applyAlignment="1">
      <alignment horizontal="left" indent="1"/>
    </xf>
    <xf numFmtId="44" fontId="4" fillId="0" borderId="1" xfId="1" applyFont="1" applyBorder="1"/>
    <xf numFmtId="0" fontId="5" fillId="2" borderId="4" xfId="0" applyFont="1" applyFill="1" applyBorder="1" applyAlignment="1">
      <alignment horizontal="left" indent="1"/>
    </xf>
    <xf numFmtId="0" fontId="5" fillId="2" borderId="3" xfId="0" applyFont="1" applyFill="1" applyBorder="1" applyAlignment="1">
      <alignment horizontal="left" indent="1"/>
    </xf>
    <xf numFmtId="0" fontId="7" fillId="2" borderId="0" xfId="0" applyFont="1" applyFill="1" applyAlignment="1">
      <alignment horizontal="center" vertical="center"/>
    </xf>
    <xf numFmtId="0" fontId="4" fillId="3" borderId="1" xfId="0" applyFont="1" applyFill="1" applyBorder="1"/>
    <xf numFmtId="0" fontId="4" fillId="4" borderId="1" xfId="0" applyFont="1" applyFill="1" applyBorder="1"/>
    <xf numFmtId="0" fontId="4" fillId="5" borderId="1" xfId="0" applyFont="1" applyFill="1" applyBorder="1" applyAlignment="1">
      <alignment horizontal="left" indent="1"/>
    </xf>
    <xf numFmtId="0" fontId="4" fillId="4" borderId="1" xfId="0" applyFont="1" applyFill="1" applyBorder="1" applyAlignment="1">
      <alignment horizontal="left" indent="1"/>
    </xf>
    <xf numFmtId="0" fontId="7" fillId="2" borderId="0" xfId="0" applyFont="1" applyFill="1"/>
    <xf numFmtId="0" fontId="0" fillId="0" borderId="0" xfId="0" applyAlignment="1">
      <alignment horizontal="center"/>
    </xf>
    <xf numFmtId="0" fontId="9" fillId="6" borderId="5" xfId="2" applyFont="1" applyFill="1" applyBorder="1" applyAlignment="1" applyProtection="1">
      <alignment horizontal="left" vertical="top"/>
      <protection locked="0"/>
    </xf>
    <xf numFmtId="0" fontId="9" fillId="6" borderId="5" xfId="2" applyFont="1" applyFill="1" applyBorder="1" applyAlignment="1" applyProtection="1">
      <alignment horizontal="center" vertical="top"/>
      <protection locked="0"/>
    </xf>
    <xf numFmtId="0" fontId="9" fillId="6" borderId="5" xfId="2" applyFont="1" applyFill="1" applyBorder="1" applyAlignment="1" applyProtection="1">
      <alignment vertical="top"/>
      <protection locked="0"/>
    </xf>
    <xf numFmtId="164" fontId="9" fillId="6" borderId="5" xfId="2" applyNumberFormat="1" applyFont="1" applyFill="1" applyBorder="1" applyAlignment="1" applyProtection="1">
      <alignment horizontal="center" vertical="top"/>
      <protection locked="0"/>
    </xf>
    <xf numFmtId="165" fontId="9" fillId="6" borderId="5" xfId="2" applyNumberFormat="1" applyFont="1" applyFill="1" applyBorder="1" applyAlignment="1" applyProtection="1">
      <alignment horizontal="center" vertical="top"/>
      <protection locked="0"/>
    </xf>
    <xf numFmtId="15" fontId="9" fillId="6" borderId="5" xfId="2" applyNumberFormat="1" applyFont="1" applyFill="1" applyBorder="1" applyAlignment="1" applyProtection="1">
      <alignment horizontal="right" vertical="top"/>
      <protection locked="0"/>
    </xf>
    <xf numFmtId="15" fontId="9" fillId="6" borderId="5" xfId="2" applyNumberFormat="1" applyFont="1" applyFill="1" applyBorder="1" applyAlignment="1" applyProtection="1">
      <alignment horizontal="center" vertical="top"/>
      <protection locked="0"/>
    </xf>
    <xf numFmtId="0" fontId="9" fillId="6" borderId="5" xfId="2" applyFont="1" applyFill="1" applyBorder="1" applyAlignment="1" applyProtection="1">
      <alignment horizontal="right" vertical="top"/>
    </xf>
    <xf numFmtId="166" fontId="9" fillId="6" borderId="5" xfId="3" applyNumberFormat="1" applyFont="1" applyFill="1" applyBorder="1" applyAlignment="1" applyProtection="1">
      <alignment vertical="top"/>
      <protection locked="0"/>
    </xf>
    <xf numFmtId="43" fontId="9" fillId="6" borderId="5" xfId="3" applyFont="1" applyFill="1" applyBorder="1" applyAlignment="1" applyProtection="1">
      <alignment horizontal="right" vertical="top"/>
    </xf>
    <xf numFmtId="9" fontId="9" fillId="6" borderId="5" xfId="4" applyFont="1" applyFill="1" applyBorder="1" applyAlignment="1" applyProtection="1">
      <alignment vertical="top"/>
      <protection locked="0"/>
    </xf>
    <xf numFmtId="167" fontId="9" fillId="0" borderId="0" xfId="4" applyNumberFormat="1" applyFont="1" applyFill="1" applyBorder="1" applyAlignment="1" applyProtection="1">
      <alignment vertical="top" wrapText="1"/>
      <protection locked="0"/>
    </xf>
    <xf numFmtId="0" fontId="9" fillId="0" borderId="6" xfId="2" applyFont="1" applyBorder="1" applyAlignment="1" applyProtection="1">
      <alignment vertical="center"/>
      <protection locked="0"/>
    </xf>
    <xf numFmtId="0" fontId="10" fillId="0" borderId="0" xfId="2" applyFont="1" applyProtection="1">
      <protection locked="0"/>
    </xf>
    <xf numFmtId="0" fontId="11" fillId="0" borderId="0" xfId="2" applyFont="1" applyAlignment="1" applyProtection="1"/>
    <xf numFmtId="0" fontId="11" fillId="0" borderId="0" xfId="2" applyFont="1" applyAlignment="1" applyProtection="1">
      <alignment horizontal="right"/>
    </xf>
    <xf numFmtId="0" fontId="10" fillId="0" borderId="0" xfId="2" applyFont="1" applyProtection="1"/>
    <xf numFmtId="0" fontId="10" fillId="0" borderId="0" xfId="2" applyFont="1" applyAlignment="1" applyProtection="1"/>
    <xf numFmtId="0" fontId="10" fillId="0" borderId="0" xfId="2" applyFont="1" applyAlignment="1" applyProtection="1">
      <alignment horizontal="right"/>
    </xf>
    <xf numFmtId="0" fontId="10" fillId="0" borderId="0" xfId="2" applyFont="1" applyFill="1" applyProtection="1">
      <protection locked="0"/>
    </xf>
    <xf numFmtId="0" fontId="10" fillId="0" borderId="0" xfId="2" applyFont="1" applyFill="1" applyAlignment="1" applyProtection="1">
      <alignment horizontal="center"/>
      <protection locked="0"/>
    </xf>
    <xf numFmtId="164" fontId="10" fillId="0" borderId="0" xfId="2" applyNumberFormat="1" applyFont="1" applyFill="1" applyAlignment="1" applyProtection="1">
      <alignment horizontal="right"/>
      <protection locked="0"/>
    </xf>
    <xf numFmtId="165" fontId="10" fillId="0" borderId="0" xfId="2" applyNumberFormat="1" applyFont="1" applyFill="1" applyAlignment="1" applyProtection="1">
      <alignment horizontal="right"/>
      <protection locked="0"/>
    </xf>
    <xf numFmtId="14" fontId="10" fillId="0" borderId="0" xfId="3" applyNumberFormat="1" applyFont="1" applyFill="1" applyProtection="1">
      <protection locked="0"/>
    </xf>
    <xf numFmtId="15" fontId="10" fillId="0" borderId="0" xfId="2" applyNumberFormat="1" applyFont="1" applyFill="1" applyAlignment="1" applyProtection="1">
      <alignment horizontal="center"/>
      <protection locked="0"/>
    </xf>
    <xf numFmtId="166" fontId="10" fillId="0" borderId="0" xfId="3" applyNumberFormat="1" applyFont="1" applyFill="1" applyProtection="1"/>
    <xf numFmtId="166" fontId="10" fillId="0" borderId="0" xfId="3" applyNumberFormat="1" applyFont="1" applyProtection="1">
      <protection locked="0"/>
    </xf>
    <xf numFmtId="166" fontId="10" fillId="0" borderId="0" xfId="3" applyNumberFormat="1" applyFont="1" applyFill="1" applyAlignment="1" applyProtection="1">
      <protection locked="0"/>
    </xf>
    <xf numFmtId="0" fontId="10" fillId="0" borderId="0" xfId="2" applyFont="1" applyAlignment="1" applyProtection="1">
      <alignment horizontal="center"/>
      <protection locked="0"/>
    </xf>
    <xf numFmtId="166" fontId="10" fillId="0" borderId="0" xfId="3" applyNumberFormat="1" applyFont="1" applyFill="1" applyProtection="1">
      <protection locked="0"/>
    </xf>
    <xf numFmtId="9" fontId="10" fillId="0" borderId="0" xfId="4" applyFont="1" applyProtection="1">
      <protection locked="0"/>
    </xf>
    <xf numFmtId="168" fontId="10" fillId="7" borderId="5" xfId="3" applyNumberFormat="1" applyFont="1" applyFill="1" applyBorder="1" applyProtection="1">
      <protection locked="0"/>
    </xf>
    <xf numFmtId="0" fontId="10" fillId="7" borderId="5" xfId="2" applyFont="1" applyFill="1" applyBorder="1" applyProtection="1">
      <protection locked="0"/>
    </xf>
    <xf numFmtId="166" fontId="10" fillId="0" borderId="0" xfId="3" applyNumberFormat="1" applyFont="1" applyProtection="1"/>
    <xf numFmtId="166" fontId="10" fillId="0" borderId="0" xfId="3" applyNumberFormat="1" applyFont="1" applyAlignment="1" applyProtection="1"/>
    <xf numFmtId="166" fontId="10" fillId="7" borderId="5" xfId="3" applyNumberFormat="1" applyFont="1" applyFill="1" applyBorder="1" applyProtection="1">
      <protection locked="0"/>
    </xf>
    <xf numFmtId="9" fontId="10" fillId="7" borderId="5" xfId="2" applyNumberFormat="1" applyFont="1" applyFill="1" applyBorder="1" applyProtection="1">
      <protection locked="0"/>
    </xf>
    <xf numFmtId="9" fontId="10" fillId="0" borderId="0" xfId="4" applyFont="1" applyBorder="1" applyProtection="1">
      <protection locked="0"/>
    </xf>
    <xf numFmtId="0" fontId="11" fillId="0" borderId="0" xfId="2" applyFont="1" applyAlignment="1" applyProtection="1">
      <protection locked="0"/>
    </xf>
    <xf numFmtId="0" fontId="11" fillId="0" borderId="0" xfId="2" applyFont="1" applyAlignment="1" applyProtection="1">
      <alignment horizontal="right"/>
      <protection locked="0"/>
    </xf>
    <xf numFmtId="0" fontId="10" fillId="0" borderId="0" xfId="2" applyFont="1" applyAlignment="1" applyProtection="1">
      <protection locked="0"/>
    </xf>
    <xf numFmtId="0" fontId="10" fillId="0" borderId="0" xfId="2" applyFont="1" applyAlignment="1" applyProtection="1">
      <alignment horizontal="right"/>
      <protection locked="0"/>
    </xf>
    <xf numFmtId="169" fontId="10" fillId="0" borderId="0" xfId="3" applyNumberFormat="1" applyFont="1" applyProtection="1">
      <protection locked="0"/>
    </xf>
    <xf numFmtId="43" fontId="10" fillId="0" borderId="0" xfId="3" applyFont="1" applyProtection="1">
      <protection locked="0"/>
    </xf>
    <xf numFmtId="166" fontId="10" fillId="0" borderId="0" xfId="3" applyNumberFormat="1" applyFont="1" applyAlignment="1" applyProtection="1">
      <protection locked="0"/>
    </xf>
    <xf numFmtId="0" fontId="10" fillId="0" borderId="0" xfId="2" applyFont="1" applyBorder="1" applyProtection="1">
      <protection locked="0"/>
    </xf>
    <xf numFmtId="164" fontId="10" fillId="0" borderId="0" xfId="2" applyNumberFormat="1" applyFont="1" applyAlignment="1" applyProtection="1">
      <alignment horizontal="right"/>
      <protection locked="0"/>
    </xf>
    <xf numFmtId="165" fontId="10" fillId="0" borderId="0" xfId="2" applyNumberFormat="1" applyFont="1" applyAlignment="1" applyProtection="1">
      <alignment horizontal="right"/>
      <protection locked="0"/>
    </xf>
    <xf numFmtId="166" fontId="10" fillId="0" borderId="0" xfId="2" applyNumberFormat="1" applyFont="1" applyProtection="1">
      <protection locked="0"/>
    </xf>
    <xf numFmtId="0" fontId="10" fillId="0" borderId="0" xfId="2" applyNumberFormat="1" applyFont="1" applyProtection="1">
      <protection locked="0"/>
    </xf>
    <xf numFmtId="166" fontId="10" fillId="0" borderId="0" xfId="3" applyNumberFormat="1" applyFont="1" applyFill="1" applyBorder="1" applyProtection="1"/>
    <xf numFmtId="166" fontId="10" fillId="0" borderId="0" xfId="3" applyNumberFormat="1" applyFont="1" applyBorder="1" applyProtection="1">
      <protection locked="0"/>
    </xf>
    <xf numFmtId="165" fontId="10" fillId="0" borderId="0" xfId="2" quotePrefix="1" applyNumberFormat="1" applyFont="1" applyAlignment="1" applyProtection="1">
      <alignment horizontal="right"/>
      <protection locked="0"/>
    </xf>
    <xf numFmtId="164" fontId="10" fillId="0" borderId="0" xfId="2" applyNumberFormat="1" applyFont="1" applyProtection="1">
      <protection locked="0"/>
    </xf>
    <xf numFmtId="165" fontId="10" fillId="0" borderId="0" xfId="2" applyNumberFormat="1" applyFont="1" applyProtection="1">
      <protection locked="0"/>
    </xf>
    <xf numFmtId="15" fontId="10" fillId="0" borderId="0" xfId="2" applyNumberFormat="1" applyFont="1" applyProtection="1">
      <protection locked="0"/>
    </xf>
    <xf numFmtId="15" fontId="10" fillId="0" borderId="0" xfId="2" applyNumberFormat="1" applyFont="1" applyAlignment="1" applyProtection="1">
      <alignment horizontal="center"/>
      <protection locked="0"/>
    </xf>
    <xf numFmtId="0" fontId="10" fillId="0" borderId="0" xfId="2" applyFont="1" applyFill="1" applyProtection="1"/>
    <xf numFmtId="43" fontId="10" fillId="0" borderId="0" xfId="3" applyFont="1" applyProtection="1"/>
    <xf numFmtId="0" fontId="12" fillId="6" borderId="5" xfId="2" applyFont="1" applyFill="1" applyBorder="1" applyAlignment="1" applyProtection="1">
      <alignment horizontal="left" vertical="top"/>
    </xf>
    <xf numFmtId="0" fontId="12" fillId="6" borderId="5" xfId="2" applyFont="1" applyFill="1" applyBorder="1" applyAlignment="1" applyProtection="1">
      <alignment horizontal="center" vertical="top"/>
    </xf>
    <xf numFmtId="0" fontId="12" fillId="6" borderId="5" xfId="2" applyFont="1" applyFill="1" applyBorder="1" applyAlignment="1" applyProtection="1">
      <alignment vertical="top"/>
    </xf>
    <xf numFmtId="0" fontId="12" fillId="6" borderId="5" xfId="2" applyFont="1" applyFill="1" applyBorder="1" applyAlignment="1" applyProtection="1">
      <alignment horizontal="right" vertical="top"/>
    </xf>
    <xf numFmtId="166" fontId="12" fillId="6" borderId="5" xfId="3" applyNumberFormat="1" applyFont="1" applyFill="1" applyBorder="1" applyAlignment="1" applyProtection="1">
      <alignment horizontal="right" vertical="top"/>
    </xf>
    <xf numFmtId="0" fontId="8" fillId="0" borderId="0" xfId="2"/>
    <xf numFmtId="0" fontId="13" fillId="0" borderId="0" xfId="2" applyFont="1" applyProtection="1"/>
    <xf numFmtId="0" fontId="13" fillId="0" borderId="0" xfId="2" applyFont="1" applyFill="1" applyAlignment="1" applyProtection="1">
      <alignment horizontal="center"/>
      <protection locked="0"/>
    </xf>
    <xf numFmtId="170" fontId="13" fillId="0" borderId="0" xfId="2" applyNumberFormat="1" applyFont="1" applyProtection="1"/>
    <xf numFmtId="166" fontId="13" fillId="0" borderId="0" xfId="3" applyNumberFormat="1" applyFont="1" applyFill="1" applyProtection="1"/>
    <xf numFmtId="166" fontId="13" fillId="0" borderId="0" xfId="3" applyNumberFormat="1" applyFont="1" applyProtection="1"/>
    <xf numFmtId="166" fontId="13" fillId="0" borderId="0" xfId="3" applyNumberFormat="1" applyFont="1" applyFill="1" applyAlignment="1" applyProtection="1">
      <alignment horizontal="left" indent="1"/>
    </xf>
    <xf numFmtId="0" fontId="13" fillId="0" borderId="0" xfId="2" applyFont="1" applyAlignment="1" applyProtection="1">
      <alignment horizontal="center"/>
    </xf>
    <xf numFmtId="0" fontId="12" fillId="0" borderId="0" xfId="2" applyFont="1" applyProtection="1"/>
    <xf numFmtId="170" fontId="13" fillId="0" borderId="0" xfId="3" applyNumberFormat="1" applyFont="1" applyProtection="1"/>
    <xf numFmtId="9" fontId="10" fillId="0" borderId="0" xfId="4" applyFont="1" applyAlignment="1" applyProtection="1">
      <alignment horizontal="center"/>
      <protection locked="0"/>
    </xf>
    <xf numFmtId="0" fontId="10" fillId="0" borderId="0" xfId="2" applyNumberFormat="1" applyFont="1" applyFill="1" applyProtection="1">
      <protection locked="0"/>
    </xf>
    <xf numFmtId="0" fontId="10" fillId="0" borderId="0" xfId="2" applyNumberFormat="1" applyFont="1" applyAlignment="1" applyProtection="1">
      <alignment horizontal="right"/>
      <protection locked="0"/>
    </xf>
    <xf numFmtId="15" fontId="10" fillId="0" borderId="0" xfId="3" applyNumberFormat="1" applyFont="1" applyProtection="1">
      <protection locked="0"/>
    </xf>
    <xf numFmtId="9" fontId="10" fillId="0" borderId="0" xfId="4" applyFont="1" applyFill="1" applyProtection="1">
      <protection locked="0"/>
    </xf>
    <xf numFmtId="15" fontId="10" fillId="0" borderId="0" xfId="2" applyNumberFormat="1" applyFont="1" applyFill="1" applyProtection="1">
      <protection locked="0"/>
    </xf>
    <xf numFmtId="0" fontId="10" fillId="0" borderId="0" xfId="2" applyNumberFormat="1" applyFont="1" applyFill="1" applyAlignment="1" applyProtection="1">
      <alignment horizontal="right"/>
      <protection locked="0"/>
    </xf>
    <xf numFmtId="9" fontId="10" fillId="0" borderId="0" xfId="4" applyFont="1" applyBorder="1" applyAlignment="1" applyProtection="1">
      <alignment horizontal="center"/>
      <protection locked="0"/>
    </xf>
    <xf numFmtId="15" fontId="10" fillId="0" borderId="0" xfId="2" applyNumberFormat="1" applyFont="1" applyBorder="1" applyProtection="1">
      <protection locked="0"/>
    </xf>
    <xf numFmtId="15" fontId="10" fillId="0" borderId="0" xfId="3" applyNumberFormat="1" applyFont="1" applyBorder="1" applyProtection="1">
      <protection locked="0"/>
    </xf>
    <xf numFmtId="0" fontId="10" fillId="0" borderId="0" xfId="2" quotePrefix="1" applyNumberFormat="1" applyFont="1" applyAlignment="1" applyProtection="1">
      <alignment horizontal="right"/>
      <protection locked="0"/>
    </xf>
    <xf numFmtId="0" fontId="9" fillId="0" borderId="0" xfId="2" applyFont="1" applyProtection="1">
      <protection locked="0"/>
    </xf>
    <xf numFmtId="0" fontId="9" fillId="0" borderId="0" xfId="2" applyFont="1" applyAlignment="1" applyProtection="1">
      <alignment horizontal="right"/>
    </xf>
    <xf numFmtId="0" fontId="9" fillId="0" borderId="0" xfId="2" applyFont="1" applyAlignment="1" applyProtection="1"/>
    <xf numFmtId="0" fontId="9" fillId="0" borderId="0" xfId="2" applyFont="1" applyProtection="1"/>
    <xf numFmtId="0" fontId="9" fillId="0" borderId="0" xfId="2" applyFont="1" applyFill="1" applyProtection="1">
      <protection locked="0"/>
    </xf>
    <xf numFmtId="0" fontId="9" fillId="8" borderId="5" xfId="2" applyFont="1" applyFill="1" applyBorder="1" applyAlignment="1" applyProtection="1">
      <alignment horizontal="right" vertical="top"/>
      <protection locked="0"/>
    </xf>
    <xf numFmtId="0" fontId="9" fillId="8" borderId="5" xfId="2" applyFont="1" applyFill="1" applyBorder="1" applyAlignment="1" applyProtection="1">
      <alignment horizontal="center" vertical="top"/>
      <protection locked="0"/>
    </xf>
    <xf numFmtId="0" fontId="9" fillId="8" borderId="5" xfId="2" applyFont="1" applyFill="1" applyBorder="1" applyAlignment="1" applyProtection="1">
      <alignment horizontal="left" vertical="top"/>
      <protection locked="0"/>
    </xf>
    <xf numFmtId="0" fontId="9" fillId="8" borderId="5" xfId="2" applyFont="1" applyFill="1" applyBorder="1" applyAlignment="1" applyProtection="1">
      <alignment horizontal="left" vertical="top" wrapText="1"/>
      <protection locked="0"/>
    </xf>
    <xf numFmtId="167" fontId="9" fillId="8" borderId="0" xfId="4" applyNumberFormat="1" applyFont="1" applyFill="1" applyBorder="1" applyAlignment="1" applyProtection="1">
      <alignment horizontal="left" vertical="top" wrapText="1"/>
      <protection locked="0"/>
    </xf>
    <xf numFmtId="0" fontId="9" fillId="0" borderId="0" xfId="2" applyFont="1" applyFill="1" applyAlignment="1" applyProtection="1">
      <alignment horizontal="left"/>
      <protection locked="0"/>
    </xf>
    <xf numFmtId="0" fontId="10" fillId="0" borderId="0" xfId="2" applyFont="1"/>
    <xf numFmtId="15" fontId="10" fillId="0" borderId="0" xfId="2" applyNumberFormat="1" applyFont="1"/>
    <xf numFmtId="0" fontId="9" fillId="0" borderId="0" xfId="2" applyFont="1"/>
    <xf numFmtId="14" fontId="9" fillId="0" borderId="0" xfId="2" applyNumberFormat="1" applyFont="1"/>
    <xf numFmtId="37" fontId="15" fillId="0" borderId="0" xfId="5" applyFont="1"/>
    <xf numFmtId="37" fontId="15" fillId="0" borderId="0" xfId="5" applyFont="1" applyFill="1"/>
    <xf numFmtId="15" fontId="15" fillId="0" borderId="0" xfId="5" applyNumberFormat="1" applyFont="1"/>
    <xf numFmtId="37" fontId="15" fillId="9" borderId="0" xfId="5" applyFont="1" applyFill="1"/>
    <xf numFmtId="171" fontId="15" fillId="0" borderId="0" xfId="5" applyNumberFormat="1" applyFont="1" applyAlignment="1">
      <alignment horizontal="left"/>
    </xf>
    <xf numFmtId="37" fontId="16" fillId="0" borderId="0" xfId="5" applyFont="1"/>
    <xf numFmtId="37" fontId="16" fillId="0" borderId="0" xfId="5" applyFont="1" applyFill="1" applyAlignment="1">
      <alignment horizontal="center" vertical="center"/>
    </xf>
    <xf numFmtId="37" fontId="16" fillId="10" borderId="0" xfId="5" applyFont="1" applyFill="1" applyAlignment="1">
      <alignment horizontal="center" vertical="center"/>
    </xf>
    <xf numFmtId="37" fontId="15" fillId="10" borderId="0" xfId="5" applyFont="1" applyFill="1"/>
    <xf numFmtId="37" fontId="16" fillId="10" borderId="0" xfId="5" applyFont="1" applyFill="1"/>
    <xf numFmtId="0" fontId="15" fillId="0" borderId="0" xfId="5" applyNumberFormat="1" applyFont="1" applyAlignment="1">
      <alignment horizontal="left"/>
    </xf>
    <xf numFmtId="0" fontId="16" fillId="0" borderId="0" xfId="5" applyNumberFormat="1" applyFont="1" applyAlignment="1">
      <alignment horizontal="left"/>
    </xf>
    <xf numFmtId="10" fontId="15" fillId="0" borderId="0" xfId="5" applyNumberFormat="1" applyFont="1"/>
    <xf numFmtId="0" fontId="16" fillId="10" borderId="0" xfId="5" applyNumberFormat="1" applyFont="1" applyFill="1" applyAlignment="1">
      <alignment horizontal="left"/>
    </xf>
    <xf numFmtId="37" fontId="15" fillId="0" borderId="0" xfId="5" applyFont="1" applyAlignment="1">
      <alignment horizontal="right"/>
    </xf>
    <xf numFmtId="37" fontId="15" fillId="0" borderId="0" xfId="5" applyFont="1" applyFill="1" applyAlignment="1">
      <alignment horizontal="right"/>
    </xf>
    <xf numFmtId="164" fontId="10" fillId="0" borderId="0" xfId="2" applyNumberFormat="1" applyFont="1" applyFill="1" applyProtection="1">
      <protection locked="0"/>
    </xf>
    <xf numFmtId="43" fontId="10" fillId="0" borderId="0" xfId="3" applyFont="1" applyFill="1" applyProtection="1">
      <protection locked="0"/>
    </xf>
    <xf numFmtId="164" fontId="9" fillId="6" borderId="5" xfId="2" applyNumberFormat="1" applyFont="1" applyFill="1" applyBorder="1" applyAlignment="1" applyProtection="1">
      <alignment vertical="top"/>
      <protection locked="0"/>
    </xf>
    <xf numFmtId="0" fontId="17" fillId="0" borderId="0" xfId="2" applyFont="1"/>
    <xf numFmtId="166" fontId="17" fillId="0" borderId="0" xfId="3" applyNumberFormat="1" applyFont="1"/>
    <xf numFmtId="15" fontId="17" fillId="0" borderId="0" xfId="2" applyNumberFormat="1" applyFont="1"/>
    <xf numFmtId="170" fontId="17" fillId="0" borderId="0" xfId="2" applyNumberFormat="1" applyFont="1"/>
    <xf numFmtId="172" fontId="17" fillId="0" borderId="0" xfId="3" applyNumberFormat="1" applyFont="1"/>
    <xf numFmtId="166" fontId="17" fillId="0" borderId="0" xfId="3" applyNumberFormat="1" applyFont="1" applyBorder="1"/>
    <xf numFmtId="0" fontId="17" fillId="0" borderId="0" xfId="2" applyFont="1" applyFill="1"/>
    <xf numFmtId="43" fontId="17" fillId="0" borderId="0" xfId="3" applyFont="1"/>
    <xf numFmtId="0" fontId="17" fillId="0" borderId="7" xfId="2" applyFont="1" applyBorder="1" applyAlignment="1"/>
    <xf numFmtId="0" fontId="18" fillId="11" borderId="8" xfId="2" applyFont="1" applyFill="1" applyBorder="1" applyAlignment="1">
      <alignment vertical="center"/>
    </xf>
    <xf numFmtId="0" fontId="18" fillId="11" borderId="7" xfId="2" applyFont="1" applyFill="1" applyBorder="1" applyAlignment="1">
      <alignment vertical="center"/>
    </xf>
    <xf numFmtId="0" fontId="18" fillId="11" borderId="9" xfId="2" applyFont="1" applyFill="1" applyBorder="1" applyAlignment="1">
      <alignment vertical="center"/>
    </xf>
    <xf numFmtId="0" fontId="2" fillId="0" borderId="0" xfId="0" applyFont="1"/>
    <xf numFmtId="0" fontId="10" fillId="0" borderId="0" xfId="6" applyFont="1" applyProtection="1">
      <protection locked="0"/>
    </xf>
    <xf numFmtId="15" fontId="10" fillId="0" borderId="0" xfId="6" applyNumberFormat="1" applyFont="1" applyProtection="1">
      <protection locked="0"/>
    </xf>
    <xf numFmtId="0" fontId="10" fillId="0" borderId="0" xfId="6" applyFont="1" applyFill="1" applyProtection="1"/>
    <xf numFmtId="164" fontId="10" fillId="0" borderId="0" xfId="6" applyNumberFormat="1" applyFont="1" applyProtection="1">
      <protection locked="0"/>
    </xf>
    <xf numFmtId="165" fontId="10" fillId="0" borderId="0" xfId="6" applyNumberFormat="1" applyFont="1" applyProtection="1">
      <protection locked="0"/>
    </xf>
    <xf numFmtId="0" fontId="10" fillId="0" borderId="0" xfId="6" applyFont="1" applyAlignment="1" applyProtection="1">
      <alignment horizontal="center"/>
      <protection locked="0"/>
    </xf>
    <xf numFmtId="15" fontId="10" fillId="0" borderId="0" xfId="6" applyNumberFormat="1" applyFont="1" applyFill="1" applyProtection="1">
      <protection locked="0"/>
    </xf>
    <xf numFmtId="14" fontId="10" fillId="0" borderId="0" xfId="6" applyNumberFormat="1" applyFont="1" applyProtection="1">
      <protection locked="0"/>
    </xf>
    <xf numFmtId="164" fontId="10" fillId="0" borderId="0" xfId="6" applyNumberFormat="1" applyFont="1" applyAlignment="1" applyProtection="1">
      <alignment horizontal="right"/>
      <protection locked="0"/>
    </xf>
    <xf numFmtId="165" fontId="10" fillId="0" borderId="0" xfId="6" applyNumberFormat="1" applyFont="1" applyAlignment="1" applyProtection="1">
      <alignment horizontal="right"/>
      <protection locked="0"/>
    </xf>
    <xf numFmtId="0" fontId="10" fillId="0" borderId="0" xfId="6" applyFont="1" applyFill="1" applyAlignment="1" applyProtection="1">
      <alignment horizontal="center"/>
      <protection locked="0"/>
    </xf>
    <xf numFmtId="0" fontId="10" fillId="0" borderId="0" xfId="6" applyFont="1" applyFill="1" applyProtection="1">
      <protection locked="0"/>
    </xf>
    <xf numFmtId="165" fontId="10" fillId="0" borderId="0" xfId="6" quotePrefix="1" applyNumberFormat="1" applyFont="1" applyAlignment="1" applyProtection="1">
      <alignment horizontal="right"/>
      <protection locked="0"/>
    </xf>
    <xf numFmtId="164" fontId="10" fillId="0" borderId="0" xfId="6" applyNumberFormat="1" applyFont="1" applyFill="1" applyAlignment="1" applyProtection="1">
      <alignment horizontal="right"/>
      <protection locked="0"/>
    </xf>
    <xf numFmtId="165" fontId="10" fillId="0" borderId="0" xfId="6" applyNumberFormat="1" applyFont="1" applyFill="1" applyAlignment="1" applyProtection="1">
      <alignment horizontal="right"/>
      <protection locked="0"/>
    </xf>
    <xf numFmtId="0" fontId="9" fillId="6" borderId="5" xfId="6" applyFont="1" applyFill="1" applyBorder="1" applyAlignment="1" applyProtection="1">
      <alignment horizontal="center" vertical="top"/>
      <protection locked="0"/>
    </xf>
    <xf numFmtId="0" fontId="9" fillId="6" borderId="5" xfId="6" applyFont="1" applyFill="1" applyBorder="1" applyAlignment="1" applyProtection="1">
      <alignment vertical="top"/>
      <protection locked="0"/>
    </xf>
    <xf numFmtId="15" fontId="9" fillId="6" borderId="5" xfId="6" applyNumberFormat="1" applyFont="1" applyFill="1" applyBorder="1" applyAlignment="1" applyProtection="1">
      <alignment horizontal="left" vertical="top"/>
      <protection locked="0"/>
    </xf>
    <xf numFmtId="0" fontId="9" fillId="6" borderId="5" xfId="6" applyFont="1" applyFill="1" applyBorder="1" applyAlignment="1" applyProtection="1">
      <alignment horizontal="right" vertical="top"/>
    </xf>
    <xf numFmtId="15" fontId="9" fillId="6" borderId="5" xfId="6" applyNumberFormat="1" applyFont="1" applyFill="1" applyBorder="1" applyAlignment="1" applyProtection="1">
      <alignment horizontal="right" vertical="top"/>
      <protection locked="0"/>
    </xf>
    <xf numFmtId="164" fontId="9" fillId="6" borderId="5" xfId="6" applyNumberFormat="1" applyFont="1" applyFill="1" applyBorder="1" applyAlignment="1" applyProtection="1">
      <alignment horizontal="center" vertical="top"/>
      <protection locked="0"/>
    </xf>
    <xf numFmtId="165" fontId="9" fillId="6" borderId="5" xfId="6" applyNumberFormat="1" applyFont="1" applyFill="1" applyBorder="1" applyAlignment="1" applyProtection="1">
      <alignment horizontal="center" vertical="top"/>
      <protection locked="0"/>
    </xf>
    <xf numFmtId="0" fontId="9" fillId="6" borderId="5" xfId="6" applyFont="1" applyFill="1" applyBorder="1" applyAlignment="1" applyProtection="1">
      <alignment horizontal="left" vertical="top"/>
      <protection locked="0"/>
    </xf>
    <xf numFmtId="0" fontId="10" fillId="0" borderId="0" xfId="6" applyFont="1"/>
    <xf numFmtId="164" fontId="10" fillId="0" borderId="0" xfId="2" applyNumberFormat="1" applyFont="1" applyFill="1" applyAlignment="1" applyProtection="1">
      <alignment horizontal="left"/>
    </xf>
    <xf numFmtId="0" fontId="10" fillId="0" borderId="0" xfId="2" applyFont="1" applyFill="1" applyAlignment="1" applyProtection="1">
      <alignment horizontal="left"/>
    </xf>
    <xf numFmtId="164" fontId="10" fillId="0" borderId="0" xfId="2" applyNumberFormat="1" applyFont="1" applyAlignment="1" applyProtection="1">
      <alignment horizontal="left"/>
    </xf>
    <xf numFmtId="164" fontId="9" fillId="6" borderId="5" xfId="2" applyNumberFormat="1" applyFont="1" applyFill="1" applyBorder="1" applyAlignment="1" applyProtection="1">
      <alignment vertical="top"/>
    </xf>
    <xf numFmtId="0" fontId="10" fillId="0" borderId="0" xfId="2" applyFont="1" applyAlignment="1" applyProtection="1">
      <alignment horizontal="left"/>
    </xf>
    <xf numFmtId="0" fontId="9" fillId="6" borderId="5" xfId="2" applyFont="1" applyFill="1" applyBorder="1" applyAlignment="1" applyProtection="1">
      <alignment vertical="top"/>
    </xf>
    <xf numFmtId="0" fontId="10" fillId="0" borderId="0" xfId="2" applyFont="1" applyFill="1" applyAlignment="1" applyProtection="1">
      <alignment horizontal="left"/>
      <protection locked="0"/>
    </xf>
    <xf numFmtId="164" fontId="9" fillId="0" borderId="5" xfId="2" applyNumberFormat="1" applyFont="1" applyFill="1" applyBorder="1" applyAlignment="1" applyProtection="1">
      <alignment vertical="top"/>
    </xf>
    <xf numFmtId="0" fontId="9" fillId="0" borderId="5" xfId="2" applyFont="1" applyFill="1" applyBorder="1" applyAlignment="1" applyProtection="1">
      <alignment vertical="top"/>
    </xf>
    <xf numFmtId="0" fontId="20" fillId="0" borderId="0" xfId="2" applyFont="1" applyBorder="1" applyAlignment="1">
      <alignment horizontal="left"/>
    </xf>
    <xf numFmtId="0" fontId="21" fillId="0" borderId="0" xfId="2" applyFont="1"/>
    <xf numFmtId="0" fontId="21" fillId="0" borderId="0" xfId="2" applyFont="1" applyFill="1"/>
    <xf numFmtId="169" fontId="21" fillId="0" borderId="0" xfId="3" applyNumberFormat="1" applyFont="1" applyFill="1"/>
    <xf numFmtId="0" fontId="22" fillId="0" borderId="0" xfId="2" applyFont="1"/>
    <xf numFmtId="0" fontId="23" fillId="0" borderId="0" xfId="2" applyFont="1"/>
    <xf numFmtId="0" fontId="24" fillId="0" borderId="0" xfId="2" applyFont="1"/>
    <xf numFmtId="173" fontId="21" fillId="0" borderId="0" xfId="2" applyNumberFormat="1" applyFont="1" applyFill="1"/>
    <xf numFmtId="174" fontId="21" fillId="0" borderId="0" xfId="4" applyNumberFormat="1" applyFont="1" applyFill="1"/>
    <xf numFmtId="0" fontId="21" fillId="0" borderId="0" xfId="2" applyFont="1" applyFill="1" applyBorder="1"/>
    <xf numFmtId="40" fontId="21" fillId="0" borderId="0" xfId="2" applyNumberFormat="1" applyFont="1" applyFill="1" applyBorder="1"/>
    <xf numFmtId="0" fontId="22" fillId="0" borderId="0" xfId="2" applyFont="1" applyBorder="1"/>
    <xf numFmtId="43" fontId="21" fillId="0" borderId="0" xfId="3" applyFont="1" applyFill="1" applyBorder="1"/>
    <xf numFmtId="18" fontId="21" fillId="0" borderId="0" xfId="2" applyNumberFormat="1" applyFont="1" applyFill="1"/>
    <xf numFmtId="14" fontId="21" fillId="0" borderId="0" xfId="2" applyNumberFormat="1" applyFont="1" applyFill="1"/>
    <xf numFmtId="44" fontId="21" fillId="0" borderId="0" xfId="7" applyFont="1" applyFill="1" applyBorder="1"/>
    <xf numFmtId="43" fontId="21" fillId="0" borderId="0" xfId="3" applyFont="1" applyFill="1"/>
    <xf numFmtId="0" fontId="22" fillId="0" borderId="0" xfId="2" applyFont="1" applyFill="1" applyBorder="1" applyAlignment="1">
      <alignment horizontal="center"/>
    </xf>
    <xf numFmtId="0" fontId="21" fillId="0" borderId="0" xfId="2" applyFont="1" applyBorder="1"/>
    <xf numFmtId="0" fontId="21" fillId="0" borderId="0" xfId="2" applyFont="1" applyFill="1" applyBorder="1" applyAlignment="1">
      <alignment horizontal="right"/>
    </xf>
    <xf numFmtId="0" fontId="21" fillId="0" borderId="0" xfId="2" applyFont="1" applyFill="1" applyAlignment="1">
      <alignment horizontal="centerContinuous"/>
    </xf>
    <xf numFmtId="0" fontId="22" fillId="0" borderId="0" xfId="2" applyFont="1" applyAlignment="1">
      <alignment horizontal="left"/>
    </xf>
    <xf numFmtId="0" fontId="10" fillId="0" borderId="0" xfId="2" applyFont="1" applyAlignment="1">
      <alignment horizontal="center"/>
    </xf>
    <xf numFmtId="166" fontId="10" fillId="0" borderId="0" xfId="3" applyNumberFormat="1" applyFont="1"/>
    <xf numFmtId="170" fontId="10" fillId="0" borderId="0" xfId="2" applyNumberFormat="1" applyFont="1"/>
    <xf numFmtId="0" fontId="10" fillId="0" borderId="0" xfId="2" applyFont="1" applyAlignment="1">
      <alignment horizontal="left" indent="1"/>
    </xf>
    <xf numFmtId="0" fontId="9" fillId="0" borderId="0" xfId="2" applyFont="1" applyAlignment="1">
      <alignment horizontal="left"/>
    </xf>
    <xf numFmtId="0" fontId="9" fillId="0" borderId="0" xfId="2" applyFont="1" applyFill="1" applyAlignment="1">
      <alignment horizontal="center"/>
    </xf>
    <xf numFmtId="166" fontId="9" fillId="0" borderId="0" xfId="3" applyNumberFormat="1" applyFont="1" applyFill="1"/>
    <xf numFmtId="0" fontId="9" fillId="0" borderId="0" xfId="2" applyFont="1" applyFill="1"/>
    <xf numFmtId="170" fontId="9" fillId="0" borderId="0" xfId="2" applyNumberFormat="1" applyFont="1" applyFill="1"/>
    <xf numFmtId="0" fontId="9" fillId="0" borderId="0" xfId="2" applyFont="1" applyFill="1" applyAlignment="1">
      <alignment horizontal="left"/>
    </xf>
    <xf numFmtId="0" fontId="9" fillId="12" borderId="0" xfId="2" applyFont="1" applyFill="1" applyAlignment="1">
      <alignment horizontal="center"/>
    </xf>
    <xf numFmtId="166" fontId="9" fillId="12" borderId="0" xfId="3" applyNumberFormat="1" applyFont="1" applyFill="1"/>
    <xf numFmtId="0" fontId="9" fillId="12" borderId="0" xfId="2" applyFont="1" applyFill="1"/>
    <xf numFmtId="170" fontId="9" fillId="12" borderId="0" xfId="2" applyNumberFormat="1" applyFont="1" applyFill="1"/>
    <xf numFmtId="0" fontId="9" fillId="12" borderId="0" xfId="2" applyFont="1" applyFill="1" applyAlignment="1">
      <alignment horizontal="left"/>
    </xf>
    <xf numFmtId="0" fontId="25" fillId="0" borderId="0" xfId="8"/>
    <xf numFmtId="15" fontId="25" fillId="0" borderId="0" xfId="8" applyNumberFormat="1"/>
    <xf numFmtId="14" fontId="25" fillId="0" borderId="0" xfId="8" applyNumberFormat="1"/>
    <xf numFmtId="0" fontId="20" fillId="0" borderId="0" xfId="8" applyFont="1"/>
    <xf numFmtId="0" fontId="10" fillId="0" borderId="0" xfId="2" applyNumberFormat="1" applyFont="1"/>
    <xf numFmtId="49" fontId="10" fillId="0" borderId="0" xfId="2" applyNumberFormat="1" applyFont="1"/>
    <xf numFmtId="49" fontId="9" fillId="0" borderId="0" xfId="2" applyNumberFormat="1" applyFont="1"/>
    <xf numFmtId="0" fontId="9" fillId="0" borderId="0" xfId="2" applyNumberFormat="1" applyFont="1"/>
    <xf numFmtId="0" fontId="25" fillId="0" borderId="0" xfId="8" applyNumberFormat="1"/>
    <xf numFmtId="43" fontId="0" fillId="0" borderId="0" xfId="9" applyFont="1"/>
    <xf numFmtId="176" fontId="0" fillId="0" borderId="0" xfId="9" applyNumberFormat="1" applyFont="1"/>
    <xf numFmtId="175" fontId="0" fillId="0" borderId="0" xfId="9" applyNumberFormat="1" applyFont="1"/>
    <xf numFmtId="0" fontId="25" fillId="0" borderId="0" xfId="8" quotePrefix="1" applyNumberFormat="1"/>
    <xf numFmtId="0" fontId="20" fillId="0" borderId="0" xfId="8" applyFont="1" applyAlignment="1">
      <alignment horizontal="center"/>
    </xf>
    <xf numFmtId="0" fontId="20" fillId="0" borderId="0" xfId="8" applyNumberFormat="1" applyFont="1"/>
    <xf numFmtId="0" fontId="20" fillId="0" borderId="0" xfId="8" quotePrefix="1" applyNumberFormat="1" applyFont="1" applyAlignment="1">
      <alignment horizontal="center"/>
    </xf>
    <xf numFmtId="0" fontId="28" fillId="0" borderId="0" xfId="2" applyFont="1" applyFill="1" applyProtection="1">
      <protection locked="0"/>
    </xf>
    <xf numFmtId="0" fontId="28" fillId="0" borderId="0" xfId="2" applyFont="1" applyFill="1" applyAlignment="1" applyProtection="1">
      <alignment horizontal="center"/>
      <protection locked="0"/>
    </xf>
    <xf numFmtId="164" fontId="28" fillId="0" borderId="0" xfId="2" applyNumberFormat="1" applyFont="1" applyFill="1" applyProtection="1">
      <protection locked="0"/>
    </xf>
    <xf numFmtId="15" fontId="28" fillId="0" borderId="0" xfId="2" applyNumberFormat="1" applyFont="1" applyFill="1" applyProtection="1">
      <protection locked="0"/>
    </xf>
    <xf numFmtId="166" fontId="28" fillId="0" borderId="0" xfId="3" applyNumberFormat="1" applyFont="1" applyFill="1" applyProtection="1"/>
    <xf numFmtId="166" fontId="28" fillId="0" borderId="0" xfId="3" applyNumberFormat="1" applyFont="1" applyProtection="1">
      <protection locked="0"/>
    </xf>
    <xf numFmtId="166" fontId="28" fillId="0" borderId="0" xfId="3" applyNumberFormat="1" applyFont="1" applyFill="1" applyAlignment="1" applyProtection="1">
      <protection locked="0"/>
    </xf>
    <xf numFmtId="43" fontId="28" fillId="0" borderId="0" xfId="3" applyFont="1" applyProtection="1"/>
    <xf numFmtId="9" fontId="28" fillId="0" borderId="0" xfId="4" applyFont="1" applyProtection="1">
      <protection locked="0"/>
    </xf>
    <xf numFmtId="0" fontId="29" fillId="0" borderId="10" xfId="2" applyFont="1" applyBorder="1" applyAlignment="1">
      <alignment horizontal="left"/>
    </xf>
    <xf numFmtId="0" fontId="29" fillId="0" borderId="10" xfId="2" applyFont="1" applyBorder="1" applyAlignment="1">
      <alignment horizontal="center"/>
    </xf>
    <xf numFmtId="166" fontId="29" fillId="0" borderId="10" xfId="3" applyNumberFormat="1" applyFont="1" applyBorder="1" applyAlignment="1">
      <alignment horizontal="right"/>
    </xf>
    <xf numFmtId="0" fontId="17" fillId="0" borderId="0" xfId="0" applyNumberFormat="1" applyFont="1" applyFill="1" applyBorder="1" applyAlignment="1" applyProtection="1"/>
    <xf numFmtId="0" fontId="17" fillId="0" borderId="0" xfId="0" applyNumberFormat="1" applyFont="1"/>
    <xf numFmtId="166" fontId="17" fillId="0" borderId="0" xfId="0" applyNumberFormat="1" applyFont="1"/>
    <xf numFmtId="172" fontId="17" fillId="0" borderId="0" xfId="0" applyNumberFormat="1" applyFont="1"/>
    <xf numFmtId="0" fontId="6" fillId="2" borderId="0" xfId="0" applyFont="1" applyFill="1" applyAlignment="1">
      <alignment horizontal="center" vertical="center"/>
    </xf>
    <xf numFmtId="0" fontId="3" fillId="2" borderId="0" xfId="0" applyFont="1" applyFill="1" applyAlignment="1">
      <alignment horizontal="center"/>
    </xf>
    <xf numFmtId="0" fontId="3" fillId="2" borderId="2" xfId="0" applyFont="1" applyFill="1" applyBorder="1" applyAlignment="1">
      <alignment horizontal="center"/>
    </xf>
    <xf numFmtId="0" fontId="0" fillId="0" borderId="11" xfId="2" applyFont="1" applyBorder="1"/>
  </cellXfs>
  <cellStyles count="10">
    <cellStyle name="Comma 2" xfId="3"/>
    <cellStyle name="Comma 3" xfId="9"/>
    <cellStyle name="Currency" xfId="1" builtinId="4"/>
    <cellStyle name="Currency 2" xfId="7"/>
    <cellStyle name="Normal" xfId="0" builtinId="0"/>
    <cellStyle name="Normal 2" xfId="2"/>
    <cellStyle name="Normal 2 2" xfId="5"/>
    <cellStyle name="Normal 3" xfId="6"/>
    <cellStyle name="Normal 4" xfId="8"/>
    <cellStyle name="Percent 2" xfId="4"/>
  </cellStyles>
  <dxfs count="33">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0" formatCode="General"/>
    </dxf>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172" formatCode="m/d/yyyy;@"/>
    </dxf>
    <dxf>
      <font>
        <b val="0"/>
        <i val="0"/>
        <strike val="0"/>
        <condense val="0"/>
        <extend val="0"/>
        <outline val="0"/>
        <shadow val="0"/>
        <u val="none"/>
        <vertAlign val="baseline"/>
        <sz val="11"/>
        <color auto="1"/>
        <name val="Calibri"/>
        <scheme val="minor"/>
      </font>
      <numFmt numFmtId="172" formatCode="m/d/yyyy;@"/>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border outline="0">
        <top style="medium">
          <color indexed="64"/>
        </top>
      </border>
    </dxf>
    <dxf>
      <font>
        <b val="0"/>
        <i val="0"/>
        <strike val="0"/>
        <condense val="0"/>
        <extend val="0"/>
        <outline val="0"/>
        <shadow val="0"/>
        <u val="none"/>
        <vertAlign val="baseline"/>
        <sz val="11"/>
        <color auto="1"/>
        <name val="Calibri"/>
        <scheme val="minor"/>
      </font>
    </dxf>
    <dxf>
      <border outline="0">
        <bottom style="medium">
          <color indexed="64"/>
        </bottom>
      </border>
    </dxf>
    <dxf>
      <font>
        <strike val="0"/>
        <outline val="0"/>
        <shadow val="0"/>
        <u val="none"/>
        <vertAlign val="baseline"/>
        <sz val="11"/>
        <color theme="1"/>
        <name val="Calibri"/>
        <scheme val="minor"/>
      </font>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protection locked="1" hidden="0"/>
    </dxf>
    <dxf>
      <font>
        <b val="0"/>
        <i val="0"/>
        <strike val="0"/>
        <condense val="0"/>
        <extend val="0"/>
        <outline val="0"/>
        <shadow val="0"/>
        <u val="none"/>
        <vertAlign val="baseline"/>
        <sz val="11"/>
        <color auto="1"/>
        <name val="Calibri"/>
        <scheme val="none"/>
      </font>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numFmt numFmtId="166" formatCode="_(* #,##0_);_(* \(#,##0\);_(* &quot;-&quot;??_);_(@_)"/>
      <fill>
        <patternFill patternType="none">
          <fgColor indexed="64"/>
          <bgColor indexed="65"/>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numFmt numFmtId="166" formatCode="_(* #,##0_);_(* \(#,##0\);_(* &quot;-&quot;??_);_(@_)"/>
      <protection locked="0" hidden="0"/>
    </dxf>
    <dxf>
      <font>
        <b val="0"/>
        <i val="0"/>
        <strike val="0"/>
        <condense val="0"/>
        <extend val="0"/>
        <outline val="0"/>
        <shadow val="0"/>
        <u val="none"/>
        <vertAlign val="baseline"/>
        <sz val="11"/>
        <color auto="1"/>
        <name val="Calibri"/>
        <scheme val="none"/>
      </font>
      <numFmt numFmtId="166" formatCode="_(* #,##0_);_(* \(#,##0\);_(* &quot;-&quot;??_);_(@_)"/>
      <fill>
        <patternFill patternType="none">
          <fgColor indexed="64"/>
          <bgColor indexed="65"/>
        </patternFill>
      </fill>
      <protection locked="1" hidden="0"/>
    </dxf>
    <dxf>
      <font>
        <b val="0"/>
        <i val="0"/>
        <strike val="0"/>
        <condense val="0"/>
        <extend val="0"/>
        <outline val="0"/>
        <shadow val="0"/>
        <u val="none"/>
        <vertAlign val="baseline"/>
        <sz val="11"/>
        <color auto="1"/>
        <name val="Calibri"/>
        <scheme val="none"/>
      </font>
      <numFmt numFmtId="20" formatCode="d\-mmm\-yy"/>
      <fill>
        <patternFill patternType="none">
          <fgColor indexed="64"/>
          <bgColor indexed="65"/>
        </patternFill>
      </fill>
      <protection locked="0" hidden="0"/>
    </dxf>
    <dxf>
      <font>
        <b val="0"/>
        <i val="0"/>
        <strike val="0"/>
        <condense val="0"/>
        <extend val="0"/>
        <outline val="0"/>
        <shadow val="0"/>
        <u val="none"/>
        <vertAlign val="baseline"/>
        <sz val="11"/>
        <color auto="1"/>
        <name val="Calibri"/>
        <scheme val="none"/>
      </font>
      <numFmt numFmtId="20" formatCode="d\-mmm\-yy"/>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numFmt numFmtId="164" formatCode="000\-00\-0000"/>
      <fill>
        <patternFill patternType="none">
          <fgColor indexed="64"/>
          <bgColor indexed="65"/>
        </patternFill>
      </fill>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protection locked="0" hidden="0"/>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4.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648089536"/>
        <c:axId val="1648075936"/>
      </c:barChart>
      <c:catAx>
        <c:axId val="164808953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648075936"/>
        <c:crosses val="autoZero"/>
        <c:auto val="1"/>
        <c:lblAlgn val="ctr"/>
        <c:lblOffset val="100"/>
        <c:tickLblSkip val="3"/>
        <c:tickMarkSkip val="1"/>
        <c:noMultiLvlLbl val="0"/>
      </c:catAx>
      <c:valAx>
        <c:axId val="164807593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648089536"/>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648096608"/>
        <c:axId val="1648097152"/>
      </c:barChart>
      <c:catAx>
        <c:axId val="16480966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648097152"/>
        <c:crosses val="autoZero"/>
        <c:auto val="1"/>
        <c:lblAlgn val="ctr"/>
        <c:lblOffset val="100"/>
        <c:tickLblSkip val="3"/>
        <c:tickMarkSkip val="1"/>
        <c:noMultiLvlLbl val="0"/>
      </c:catAx>
      <c:valAx>
        <c:axId val="164809715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64809660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0</xdr:row>
      <xdr:rowOff>95250</xdr:rowOff>
    </xdr:from>
    <xdr:to>
      <xdr:col>10</xdr:col>
      <xdr:colOff>427862</xdr:colOff>
      <xdr:row>31</xdr:row>
      <xdr:rowOff>56417</xdr:rowOff>
    </xdr:to>
    <xdr:pic>
      <xdr:nvPicPr>
        <xdr:cNvPr id="11" name="Picture 10"/>
        <xdr:cNvPicPr>
          <a:picLocks noChangeAspect="1"/>
        </xdr:cNvPicPr>
      </xdr:nvPicPr>
      <xdr:blipFill>
        <a:blip xmlns:r="http://schemas.openxmlformats.org/officeDocument/2006/relationships" r:embed="rId1"/>
        <a:stretch>
          <a:fillRect/>
        </a:stretch>
      </xdr:blipFill>
      <xdr:spPr>
        <a:xfrm>
          <a:off x="419100" y="95250"/>
          <a:ext cx="6104762" cy="58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883</xdr:row>
      <xdr:rowOff>0</xdr:rowOff>
    </xdr:from>
    <xdr:to>
      <xdr:col>7</xdr:col>
      <xdr:colOff>0</xdr:colOff>
      <xdr:row>883</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xdr:row>
      <xdr:rowOff>0</xdr:rowOff>
    </xdr:from>
    <xdr:to>
      <xdr:col>7</xdr:col>
      <xdr:colOff>0</xdr:colOff>
      <xdr:row>3</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324239</xdr:colOff>
      <xdr:row>0</xdr:row>
      <xdr:rowOff>103094</xdr:rowOff>
    </xdr:from>
    <xdr:to>
      <xdr:col>8</xdr:col>
      <xdr:colOff>661147</xdr:colOff>
      <xdr:row>200</xdr:row>
      <xdr:rowOff>112060</xdr:rowOff>
    </xdr:to>
    <mc:AlternateContent xmlns:mc="http://schemas.openxmlformats.org/markup-compatibility/2006" xmlns:sle15="http://schemas.microsoft.com/office/drawing/2012/slicer">
      <mc:Choice Requires="sle15">
        <xdr:graphicFrame macro="">
          <xdr:nvGraphicFramePr>
            <xdr:cNvPr id="4" name="Salesperson"/>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6151298" y="103094"/>
              <a:ext cx="2790996" cy="13312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430694</xdr:colOff>
      <xdr:row>219</xdr:row>
      <xdr:rowOff>104387</xdr:rowOff>
    </xdr:from>
    <xdr:to>
      <xdr:col>7</xdr:col>
      <xdr:colOff>2253460</xdr:colOff>
      <xdr:row>246</xdr:row>
      <xdr:rowOff>144197</xdr:rowOff>
    </xdr:to>
    <mc:AlternateContent xmlns:mc="http://schemas.openxmlformats.org/markup-compatibility/2006" xmlns:sle15="http://schemas.microsoft.com/office/drawing/2012/slicer">
      <mc:Choice Requires="sle15">
        <xdr:graphicFrame macro="">
          <xdr:nvGraphicFramePr>
            <xdr:cNvPr id="5"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257753" y="2379181"/>
              <a:ext cx="1822766" cy="156381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232867</xdr:colOff>
      <xdr:row>205</xdr:row>
      <xdr:rowOff>0</xdr:rowOff>
    </xdr:from>
    <xdr:to>
      <xdr:col>10</xdr:col>
      <xdr:colOff>510945</xdr:colOff>
      <xdr:row>232</xdr:row>
      <xdr:rowOff>156882</xdr:rowOff>
    </xdr:to>
    <mc:AlternateContent xmlns:mc="http://schemas.openxmlformats.org/markup-compatibility/2006" xmlns:sle15="http://schemas.microsoft.com/office/drawing/2012/slicer">
      <mc:Choice Requires="sle15">
        <xdr:graphicFrame macro="">
          <xdr:nvGraphicFramePr>
            <xdr:cNvPr id="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514014" y="1703294"/>
              <a:ext cx="1824490" cy="129988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384146</xdr:colOff>
      <xdr:row>204</xdr:row>
      <xdr:rowOff>85856</xdr:rowOff>
    </xdr:from>
    <xdr:to>
      <xdr:col>7</xdr:col>
      <xdr:colOff>2212515</xdr:colOff>
      <xdr:row>219</xdr:row>
      <xdr:rowOff>33617</xdr:rowOff>
    </xdr:to>
    <mc:AlternateContent xmlns:mc="http://schemas.openxmlformats.org/markup-compatibility/2006" xmlns:sle15="http://schemas.microsoft.com/office/drawing/2012/slicer">
      <mc:Choice Requires="sle15">
        <xdr:graphicFrame macro="">
          <xdr:nvGraphicFramePr>
            <xdr:cNvPr id="7" name="Custome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mlns="">
        <xdr:sp macro="" textlink="">
          <xdr:nvSpPr>
            <xdr:cNvPr id="0" name=""/>
            <xdr:cNvSpPr>
              <a:spLocks noTextEdit="1"/>
            </xdr:cNvSpPr>
          </xdr:nvSpPr>
          <xdr:spPr>
            <a:xfrm>
              <a:off x="6211205" y="1598650"/>
              <a:ext cx="1828369" cy="70976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extLst>
    <x:ext xmlns:x15="http://schemas.microsoft.com/office/spreadsheetml/2010/11/main" uri="{2F2917AC-EB37-4324-AD4E-5DD8C200BD13}">
      <x15:tableSlicerCache tableId="2" column="1"/>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extLst>
    <x:ext xmlns:x15="http://schemas.microsoft.com/office/spreadsheetml/2010/11/main" uri="{2F2917AC-EB37-4324-AD4E-5DD8C200BD13}">
      <x15:tableSlicerCache tableId="2" column="2"/>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2"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ustomer" sourceName="Customer">
  <extLst>
    <x:ext xmlns:x15="http://schemas.microsoft.com/office/spreadsheetml/2010/11/main" uri="{2F2917AC-EB37-4324-AD4E-5DD8C200BD13}">
      <x15:tableSlicerCache tableId="2" column="4"/>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person" cache="Slicer_Salesperson" caption="Salesperson" columnCount="3" showCaption="0" lockedPosition="1" rowHeight="274320"/>
  <slicer name="Product" cache="Slicer_Product" caption="Product" showCaption="0" rowHeight="241300"/>
  <slicer name="Region" cache="Slicer_Region" caption="Region" showCaption="0" rowHeight="241300"/>
  <slicer name="Customer" cache="Slicer_Customer" caption="Customer" showCaption="0" rowHeight="241300"/>
</slicers>
</file>

<file path=xl/tables/table1.xml><?xml version="1.0" encoding="utf-8"?>
<table xmlns="http://schemas.openxmlformats.org/spreadsheetml/2006/main" id="1" name="Table1" displayName="Table1" ref="A1:N744" totalsRowShown="0">
  <autoFilter ref="A1:N744">
    <filterColumn colId="1">
      <filters>
        <filter val="Main"/>
      </filters>
    </filterColumn>
  </autoFilter>
  <tableColumns count="14">
    <tableColumn id="1" name="Employee Name" dataDxfId="32" dataCellStyle="Normal 2"/>
    <tableColumn id="2" name="Building" dataDxfId="31" dataCellStyle="Normal 2"/>
    <tableColumn id="3" name="Department" dataDxfId="30" dataCellStyle="Normal 2"/>
    <tableColumn id="4" name="SS#" dataDxfId="29" dataCellStyle="Normal 2"/>
    <tableColumn id="5" name="Status" dataDxfId="28" dataCellStyle="Normal 2"/>
    <tableColumn id="6" name="Hire Date" dataDxfId="27" dataCellStyle="Normal 2"/>
    <tableColumn id="7" name="Month" dataDxfId="26" dataCellStyle="Normal 2">
      <calculatedColumnFormula>CHOOSE(MONTH(F2),"Jan","Feb","Mar","Apr","May","Jun","Jul","Aug","Sep","Oct","Nov","Dec")</calculatedColumnFormula>
    </tableColumn>
    <tableColumn id="8" name="Years" dataDxfId="25" dataCellStyle="Comma 2">
      <calculatedColumnFormula>DATEDIF(F2,TODAY(),"Y")</calculatedColumnFormula>
    </tableColumn>
    <tableColumn id="9" name="Benefits" dataDxfId="24" dataCellStyle="Comma 2"/>
    <tableColumn id="10" name="Salary" dataDxfId="23" dataCellStyle="Comma 2"/>
    <tableColumn id="11" name="Job Rating" dataDxfId="22" dataCellStyle="Normal 2"/>
    <tableColumn id="12" name="New Salary" dataDxfId="21" dataCellStyle="Comma 2"/>
    <tableColumn id="13" name="Tax Rate" dataDxfId="20" dataCellStyle="Percent 2"/>
    <tableColumn id="14" name="2.91%" dataDxfId="19" dataCellStyle="Normal 2"/>
  </tableColumns>
  <tableStyleInfo name="TableStyleLight15" showFirstColumn="0" showLastColumn="0" showRowStripes="1" showColumnStripes="0"/>
</table>
</file>

<file path=xl/tables/table2.xml><?xml version="1.0" encoding="utf-8"?>
<table xmlns="http://schemas.openxmlformats.org/spreadsheetml/2006/main" id="2" name="Table2" displayName="Table2" ref="A3:H913" totalsRowCount="1" headerRowDxfId="18" dataDxfId="16" headerRowBorderDxfId="17" tableBorderDxfId="15" dataCellStyle="Comma 2">
  <autoFilter ref="A3:H912">
    <filterColumn colId="0">
      <filters>
        <filter val="Clark, Dick"/>
        <filter val="Folger, Art"/>
        <filter val="Furn, Betty"/>
        <filter val="Loman, Willy"/>
        <filter val="Mann, Ed"/>
        <filter val="Morgan, Gil"/>
        <filter val="Pardo, Don"/>
        <filter val="Popiel, Ron"/>
        <filter val="Reimers, Ed"/>
        <filter val="Roman, Barb"/>
        <filter val="Short, Dina"/>
      </filters>
    </filterColumn>
    <filterColumn colId="1">
      <filters>
        <filter val="Dishwashers"/>
      </filters>
    </filterColumn>
    <filterColumn colId="2">
      <filters>
        <filter val="NE"/>
      </filters>
    </filterColumn>
  </autoFilter>
  <tableColumns count="8">
    <tableColumn id="1" name="Salesperson" totalsRowLabel="Total" dataDxfId="14" totalsRowDxfId="13" dataCellStyle="Normal 2"/>
    <tableColumn id="2" name="Product" dataDxfId="12" totalsRowDxfId="11" dataCellStyle="Normal 2"/>
    <tableColumn id="3" name="Region" dataDxfId="10" totalsRowDxfId="9" dataCellStyle="Normal 2"/>
    <tableColumn id="4" name="Customer" dataDxfId="8" totalsRowDxfId="7" dataCellStyle="Normal 2"/>
    <tableColumn id="5" name="Date" dataDxfId="6" totalsRowDxfId="5" dataCellStyle="Comma 2"/>
    <tableColumn id="6" name="Items" totalsRowFunction="count" dataDxfId="4" totalsRowDxfId="3" dataCellStyle="Comma 2"/>
    <tableColumn id="7" name="Amount" totalsRowFunction="sum" dataDxfId="2" totalsRowDxfId="1" dataCellStyle="Comma 2"/>
    <tableColumn id="8" name="Column1" dataDxfId="0" dataCellStyle="Comma 2"/>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microsoft.com/office/2007/relationships/slicer" Target="../slicers/slicer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E25"/>
  <sheetViews>
    <sheetView showGridLines="0" workbookViewId="0">
      <selection activeCell="B35" sqref="B35"/>
    </sheetView>
  </sheetViews>
  <sheetFormatPr defaultRowHeight="15" x14ac:dyDescent="0.25"/>
  <sheetData>
    <row r="3" spans="2:5" ht="21" x14ac:dyDescent="0.35">
      <c r="B3" s="24" t="s">
        <v>224</v>
      </c>
      <c r="C3" s="24"/>
      <c r="D3" s="24"/>
      <c r="E3" s="24"/>
    </row>
    <row r="4" spans="2:5" x14ac:dyDescent="0.25">
      <c r="B4" s="25">
        <v>1</v>
      </c>
      <c r="C4" t="s">
        <v>225</v>
      </c>
    </row>
    <row r="5" spans="2:5" x14ac:dyDescent="0.25">
      <c r="B5" s="25">
        <v>2</v>
      </c>
      <c r="C5" t="s">
        <v>226</v>
      </c>
    </row>
    <row r="6" spans="2:5" x14ac:dyDescent="0.25">
      <c r="B6" s="25">
        <v>3</v>
      </c>
      <c r="C6" t="s">
        <v>228</v>
      </c>
    </row>
    <row r="7" spans="2:5" x14ac:dyDescent="0.25">
      <c r="B7" s="25">
        <v>4</v>
      </c>
      <c r="C7" t="s">
        <v>227</v>
      </c>
    </row>
    <row r="8" spans="2:5" x14ac:dyDescent="0.25">
      <c r="B8" s="25">
        <v>5</v>
      </c>
      <c r="C8" t="s">
        <v>1426</v>
      </c>
    </row>
    <row r="9" spans="2:5" x14ac:dyDescent="0.25">
      <c r="B9" s="25">
        <v>6</v>
      </c>
      <c r="C9" t="s">
        <v>1427</v>
      </c>
    </row>
    <row r="10" spans="2:5" x14ac:dyDescent="0.25">
      <c r="B10" s="25">
        <v>7</v>
      </c>
      <c r="C10" t="s">
        <v>1428</v>
      </c>
    </row>
    <row r="11" spans="2:5" x14ac:dyDescent="0.25">
      <c r="B11" s="25">
        <v>8</v>
      </c>
      <c r="C11" t="s">
        <v>1429</v>
      </c>
    </row>
    <row r="12" spans="2:5" x14ac:dyDescent="0.25">
      <c r="B12" s="25">
        <v>9</v>
      </c>
      <c r="C12" t="s">
        <v>1430</v>
      </c>
    </row>
    <row r="13" spans="2:5" x14ac:dyDescent="0.25">
      <c r="B13" s="25">
        <v>10</v>
      </c>
      <c r="C13" t="s">
        <v>1431</v>
      </c>
    </row>
    <row r="14" spans="2:5" x14ac:dyDescent="0.25">
      <c r="B14" s="25">
        <v>11</v>
      </c>
      <c r="C14" t="s">
        <v>1432</v>
      </c>
    </row>
    <row r="15" spans="2:5" x14ac:dyDescent="0.25">
      <c r="B15" s="25" t="s">
        <v>1434</v>
      </c>
      <c r="C15" t="s">
        <v>1433</v>
      </c>
    </row>
    <row r="16" spans="2:5" x14ac:dyDescent="0.25">
      <c r="B16" s="25">
        <v>12</v>
      </c>
      <c r="C16" t="s">
        <v>1467</v>
      </c>
    </row>
    <row r="17" spans="2:3" x14ac:dyDescent="0.25">
      <c r="B17" s="25">
        <v>13</v>
      </c>
      <c r="C17" t="s">
        <v>1469</v>
      </c>
    </row>
    <row r="18" spans="2:3" x14ac:dyDescent="0.25">
      <c r="B18" s="25">
        <v>14</v>
      </c>
      <c r="C18" t="s">
        <v>1496</v>
      </c>
    </row>
    <row r="19" spans="2:3" x14ac:dyDescent="0.25">
      <c r="B19" s="25">
        <v>15</v>
      </c>
      <c r="C19" t="s">
        <v>1497</v>
      </c>
    </row>
    <row r="20" spans="2:3" x14ac:dyDescent="0.25">
      <c r="B20" s="25">
        <v>16</v>
      </c>
      <c r="C20" t="s">
        <v>1484</v>
      </c>
    </row>
    <row r="21" spans="2:3" x14ac:dyDescent="0.25">
      <c r="B21" s="25">
        <v>17</v>
      </c>
      <c r="C21" t="s">
        <v>1557</v>
      </c>
    </row>
    <row r="22" spans="2:3" x14ac:dyDescent="0.25">
      <c r="B22" s="25">
        <v>18</v>
      </c>
      <c r="C22" t="s">
        <v>1559</v>
      </c>
    </row>
    <row r="23" spans="2:3" x14ac:dyDescent="0.25">
      <c r="B23" s="25">
        <v>19</v>
      </c>
      <c r="C23" t="s">
        <v>1558</v>
      </c>
    </row>
    <row r="24" spans="2:3" x14ac:dyDescent="0.25">
      <c r="B24" s="25">
        <v>20</v>
      </c>
      <c r="C24" t="s">
        <v>1606</v>
      </c>
    </row>
    <row r="25" spans="2:3" x14ac:dyDescent="0.25">
      <c r="B25" s="25">
        <v>21</v>
      </c>
      <c r="C25" t="s">
        <v>1607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33"/>
  <sheetViews>
    <sheetView workbookViewId="0">
      <selection activeCell="A5" sqref="A5"/>
    </sheetView>
  </sheetViews>
  <sheetFormatPr defaultRowHeight="15" x14ac:dyDescent="0.25"/>
  <cols>
    <col min="1" max="1" width="22.85546875" style="4" customWidth="1"/>
    <col min="2" max="2" width="38" style="4" customWidth="1"/>
    <col min="3" max="3" width="29.140625" style="4" customWidth="1"/>
    <col min="4" max="16384" width="9.140625" style="4"/>
  </cols>
  <sheetData>
    <row r="1" spans="1:3" ht="21" x14ac:dyDescent="0.25">
      <c r="B1" s="19" t="s">
        <v>6</v>
      </c>
      <c r="C1" s="19" t="s">
        <v>7</v>
      </c>
    </row>
    <row r="2" spans="1:3" x14ac:dyDescent="0.25">
      <c r="A2" s="2" t="s">
        <v>5</v>
      </c>
      <c r="B2" s="1" t="s">
        <v>0</v>
      </c>
      <c r="C2" s="1" t="s">
        <v>8</v>
      </c>
    </row>
    <row r="3" spans="1:3" x14ac:dyDescent="0.25">
      <c r="A3" s="2" t="s">
        <v>1</v>
      </c>
      <c r="B3" s="1" t="s">
        <v>2</v>
      </c>
      <c r="C3" s="1" t="s">
        <v>4</v>
      </c>
    </row>
    <row r="4" spans="1:3" x14ac:dyDescent="0.25">
      <c r="A4" s="2" t="s">
        <v>28</v>
      </c>
      <c r="B4" s="1" t="s">
        <v>3</v>
      </c>
      <c r="C4" s="1" t="s">
        <v>4</v>
      </c>
    </row>
    <row r="5" spans="1:3" x14ac:dyDescent="0.25">
      <c r="A5" s="2" t="s">
        <v>29</v>
      </c>
      <c r="B5" s="1" t="s">
        <v>9</v>
      </c>
      <c r="C5" s="1" t="s">
        <v>10</v>
      </c>
    </row>
    <row r="6" spans="1:3" x14ac:dyDescent="0.25">
      <c r="A6" s="1"/>
      <c r="B6" s="1" t="s">
        <v>11</v>
      </c>
      <c r="C6" s="1" t="s">
        <v>12</v>
      </c>
    </row>
    <row r="7" spans="1:3" x14ac:dyDescent="0.25">
      <c r="A7" s="1"/>
      <c r="B7" s="1" t="s">
        <v>13</v>
      </c>
      <c r="C7" s="1" t="s">
        <v>14</v>
      </c>
    </row>
    <row r="8" spans="1:3" x14ac:dyDescent="0.25">
      <c r="A8" s="1"/>
      <c r="B8" s="1"/>
      <c r="C8" s="1" t="s">
        <v>15</v>
      </c>
    </row>
    <row r="9" spans="1:3" x14ac:dyDescent="0.25">
      <c r="A9" s="1"/>
      <c r="B9" s="1"/>
      <c r="C9" s="1" t="s">
        <v>16</v>
      </c>
    </row>
    <row r="10" spans="1:3" x14ac:dyDescent="0.25">
      <c r="A10" s="1"/>
      <c r="B10" s="1"/>
      <c r="C10" s="1"/>
    </row>
    <row r="11" spans="1:3" x14ac:dyDescent="0.25">
      <c r="A11" s="6" t="s">
        <v>39</v>
      </c>
      <c r="B11" s="1" t="s">
        <v>17</v>
      </c>
      <c r="C11" s="1" t="s">
        <v>18</v>
      </c>
    </row>
    <row r="12" spans="1:3" x14ac:dyDescent="0.25">
      <c r="A12" s="7"/>
      <c r="B12" s="4" t="s">
        <v>42</v>
      </c>
      <c r="C12" s="1" t="s">
        <v>41</v>
      </c>
    </row>
    <row r="13" spans="1:3" x14ac:dyDescent="0.25">
      <c r="A13" s="7"/>
      <c r="B13" s="1" t="s">
        <v>38</v>
      </c>
      <c r="C13" s="1" t="s">
        <v>40</v>
      </c>
    </row>
    <row r="14" spans="1:3" x14ac:dyDescent="0.25">
      <c r="A14" s="7"/>
    </row>
    <row r="15" spans="1:3" x14ac:dyDescent="0.25">
      <c r="A15" s="5" t="s">
        <v>30</v>
      </c>
      <c r="B15" s="4" t="s">
        <v>43</v>
      </c>
      <c r="C15" s="1" t="s">
        <v>26</v>
      </c>
    </row>
    <row r="16" spans="1:3" x14ac:dyDescent="0.25">
      <c r="A16" s="2"/>
      <c r="B16" s="1" t="s">
        <v>25</v>
      </c>
    </row>
    <row r="17" spans="1:3" x14ac:dyDescent="0.25">
      <c r="A17" s="2"/>
      <c r="B17" s="1"/>
      <c r="C17" s="1"/>
    </row>
    <row r="18" spans="1:3" x14ac:dyDescent="0.25">
      <c r="A18" s="5" t="s">
        <v>27</v>
      </c>
      <c r="B18" s="4" t="s">
        <v>31</v>
      </c>
      <c r="C18" s="4" t="s">
        <v>35</v>
      </c>
    </row>
    <row r="19" spans="1:3" x14ac:dyDescent="0.25">
      <c r="A19" s="5"/>
      <c r="B19" s="4" t="s">
        <v>32</v>
      </c>
      <c r="C19" s="4" t="s">
        <v>37</v>
      </c>
    </row>
    <row r="20" spans="1:3" x14ac:dyDescent="0.25">
      <c r="A20" s="5"/>
      <c r="B20" s="4" t="s">
        <v>33</v>
      </c>
    </row>
    <row r="21" spans="1:3" x14ac:dyDescent="0.25">
      <c r="A21" s="5"/>
      <c r="B21" s="4" t="s">
        <v>34</v>
      </c>
    </row>
    <row r="22" spans="1:3" x14ac:dyDescent="0.25">
      <c r="A22" s="5"/>
      <c r="B22" s="4" t="s">
        <v>36</v>
      </c>
    </row>
    <row r="23" spans="1:3" x14ac:dyDescent="0.25">
      <c r="A23" s="5"/>
    </row>
    <row r="24" spans="1:3" x14ac:dyDescent="0.25">
      <c r="A24" s="2" t="s">
        <v>22</v>
      </c>
      <c r="B24" s="1" t="s">
        <v>24</v>
      </c>
      <c r="C24" s="1" t="s">
        <v>23</v>
      </c>
    </row>
    <row r="25" spans="1:3" x14ac:dyDescent="0.25">
      <c r="A25" s="2"/>
      <c r="B25" s="1"/>
      <c r="C25" s="1"/>
    </row>
    <row r="26" spans="1:3" x14ac:dyDescent="0.25">
      <c r="A26" s="2" t="s">
        <v>19</v>
      </c>
      <c r="B26" s="1" t="s">
        <v>20</v>
      </c>
      <c r="C26" s="1" t="s">
        <v>21</v>
      </c>
    </row>
    <row r="27" spans="1:3" x14ac:dyDescent="0.25">
      <c r="A27" s="2"/>
      <c r="B27" s="1"/>
      <c r="C27" s="1"/>
    </row>
    <row r="29" spans="1:3" x14ac:dyDescent="0.25">
      <c r="A29" s="3"/>
      <c r="B29" s="1"/>
      <c r="C29" s="1"/>
    </row>
    <row r="30" spans="1:3" x14ac:dyDescent="0.25">
      <c r="A30" s="3"/>
      <c r="B30" s="1"/>
      <c r="C30" s="1"/>
    </row>
    <row r="31" spans="1:3" x14ac:dyDescent="0.25">
      <c r="A31" s="1"/>
      <c r="B31" s="1"/>
      <c r="C31" s="1"/>
    </row>
    <row r="32" spans="1:3" x14ac:dyDescent="0.25">
      <c r="A32" s="1"/>
      <c r="B32" s="1"/>
      <c r="C32" s="1"/>
    </row>
    <row r="33" spans="1:3" x14ac:dyDescent="0.25">
      <c r="A33" s="1"/>
      <c r="B33" s="1"/>
      <c r="C33"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B35" sqref="B35"/>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AB52"/>
  <sheetViews>
    <sheetView workbookViewId="0">
      <selection activeCell="B35" sqref="B35"/>
    </sheetView>
  </sheetViews>
  <sheetFormatPr defaultRowHeight="12" x14ac:dyDescent="0.2"/>
  <cols>
    <col min="1" max="7" width="9.140625" style="8"/>
    <col min="8" max="8" width="9" style="8" customWidth="1"/>
    <col min="9" max="10" width="9.140625" style="8"/>
    <col min="11" max="11" width="16.7109375" style="8" customWidth="1"/>
    <col min="12" max="12" width="11.5703125" style="8" customWidth="1"/>
    <col min="13" max="13" width="6.28515625" style="8" customWidth="1"/>
    <col min="14" max="14" width="11.140625" style="8" customWidth="1"/>
    <col min="15" max="18" width="9.140625" style="8"/>
    <col min="19" max="19" width="10.85546875" style="8" bestFit="1" customWidth="1"/>
    <col min="20" max="23" width="9.140625" style="8"/>
    <col min="24" max="24" width="11" style="8" customWidth="1"/>
    <col min="25" max="16384" width="9.140625" style="8"/>
  </cols>
  <sheetData>
    <row r="2" spans="1:28" ht="24" customHeight="1" x14ac:dyDescent="0.2">
      <c r="B2" s="260" t="s">
        <v>222</v>
      </c>
      <c r="C2" s="260"/>
      <c r="D2" s="260"/>
      <c r="E2" s="260"/>
      <c r="F2" s="260"/>
      <c r="G2" s="260"/>
      <c r="H2" s="260"/>
      <c r="I2" s="260"/>
      <c r="J2" s="260"/>
      <c r="K2" s="260"/>
      <c r="L2" s="260"/>
      <c r="M2" s="260"/>
      <c r="N2" s="260"/>
    </row>
    <row r="4" spans="1:28" x14ac:dyDescent="0.2">
      <c r="A4" s="17" t="s">
        <v>54</v>
      </c>
      <c r="B4" s="17" t="s">
        <v>46</v>
      </c>
      <c r="C4" s="17" t="s">
        <v>47</v>
      </c>
      <c r="D4" s="17" t="s">
        <v>48</v>
      </c>
      <c r="E4" s="17" t="s">
        <v>49</v>
      </c>
      <c r="F4" s="17" t="s">
        <v>50</v>
      </c>
      <c r="G4" s="17" t="s">
        <v>51</v>
      </c>
      <c r="H4" s="17" t="s">
        <v>52</v>
      </c>
      <c r="I4" s="17" t="s">
        <v>217</v>
      </c>
      <c r="J4" s="17" t="s">
        <v>218</v>
      </c>
      <c r="K4" s="17" t="s">
        <v>219</v>
      </c>
      <c r="L4" s="17" t="s">
        <v>220</v>
      </c>
      <c r="M4" s="17" t="s">
        <v>221</v>
      </c>
      <c r="N4" s="18" t="s">
        <v>183</v>
      </c>
      <c r="O4" s="18" t="s">
        <v>185</v>
      </c>
      <c r="P4" s="18" t="s">
        <v>215</v>
      </c>
      <c r="Q4" s="18" t="s">
        <v>188</v>
      </c>
      <c r="R4" s="18" t="s">
        <v>216</v>
      </c>
      <c r="S4" s="18" t="s">
        <v>183</v>
      </c>
      <c r="T4" s="18" t="s">
        <v>185</v>
      </c>
      <c r="U4" s="18" t="s">
        <v>215</v>
      </c>
      <c r="V4" s="18" t="s">
        <v>188</v>
      </c>
      <c r="W4" s="18" t="s">
        <v>216</v>
      </c>
      <c r="X4" s="18" t="s">
        <v>183</v>
      </c>
      <c r="Y4" s="18" t="s">
        <v>185</v>
      </c>
      <c r="Z4" s="18" t="s">
        <v>215</v>
      </c>
      <c r="AA4" s="18" t="s">
        <v>188</v>
      </c>
      <c r="AB4" s="18" t="s">
        <v>216</v>
      </c>
    </row>
    <row r="5" spans="1:28" x14ac:dyDescent="0.2">
      <c r="A5" s="11">
        <v>1199</v>
      </c>
      <c r="B5" s="11">
        <v>1001</v>
      </c>
      <c r="C5" s="11" t="s">
        <v>61</v>
      </c>
      <c r="D5" s="11" t="s">
        <v>62</v>
      </c>
      <c r="E5" s="11" t="s">
        <v>63</v>
      </c>
      <c r="F5" s="11" t="s">
        <v>67</v>
      </c>
      <c r="G5" s="11" t="s">
        <v>68</v>
      </c>
      <c r="H5" s="11">
        <v>32328</v>
      </c>
      <c r="I5" s="12">
        <v>37711</v>
      </c>
      <c r="J5" s="12">
        <v>37712</v>
      </c>
      <c r="K5" s="11" t="s">
        <v>66</v>
      </c>
      <c r="L5" s="11" t="s">
        <v>67</v>
      </c>
      <c r="M5" s="11" t="s">
        <v>68</v>
      </c>
      <c r="N5" s="9">
        <v>4981341710</v>
      </c>
      <c r="O5" s="9" t="s">
        <v>195</v>
      </c>
      <c r="P5" s="11">
        <v>1</v>
      </c>
      <c r="Q5" s="15">
        <v>14.2</v>
      </c>
      <c r="R5" s="15">
        <f t="shared" ref="R5:R9" si="0">P5*Q5</f>
        <v>14.2</v>
      </c>
      <c r="S5" s="9">
        <v>8843172113</v>
      </c>
      <c r="T5" s="9" t="s">
        <v>197</v>
      </c>
      <c r="U5" s="14">
        <v>1</v>
      </c>
      <c r="V5" s="15">
        <v>37.799999999999997</v>
      </c>
      <c r="W5" s="15">
        <f t="shared" ref="W5" si="1">U5*V5</f>
        <v>37.799999999999997</v>
      </c>
      <c r="X5" s="11"/>
      <c r="Y5" s="11"/>
      <c r="Z5" s="11"/>
      <c r="AA5" s="11"/>
      <c r="AB5" s="11"/>
    </row>
    <row r="6" spans="1:28" x14ac:dyDescent="0.2">
      <c r="A6" s="11">
        <v>2681</v>
      </c>
      <c r="B6" s="11">
        <v>1001</v>
      </c>
      <c r="C6" s="11" t="s">
        <v>61</v>
      </c>
      <c r="D6" s="11" t="s">
        <v>62</v>
      </c>
      <c r="E6" s="11" t="s">
        <v>63</v>
      </c>
      <c r="F6" s="11" t="s">
        <v>67</v>
      </c>
      <c r="G6" s="11" t="s">
        <v>68</v>
      </c>
      <c r="H6" s="11">
        <v>32328</v>
      </c>
      <c r="I6" s="12">
        <v>37714</v>
      </c>
      <c r="J6" s="12">
        <v>37716</v>
      </c>
      <c r="K6" s="11" t="s">
        <v>66</v>
      </c>
      <c r="L6" s="11" t="s">
        <v>67</v>
      </c>
      <c r="M6" s="11" t="s">
        <v>68</v>
      </c>
      <c r="N6" s="9">
        <v>1059831198</v>
      </c>
      <c r="O6" s="9" t="s">
        <v>191</v>
      </c>
      <c r="P6" s="11">
        <v>3</v>
      </c>
      <c r="Q6" s="16">
        <v>18.75</v>
      </c>
      <c r="R6" s="16">
        <f>P6*Q6</f>
        <v>56.25</v>
      </c>
      <c r="S6" s="11"/>
      <c r="T6" s="11"/>
      <c r="U6" s="11"/>
      <c r="V6" s="16"/>
      <c r="W6" s="16"/>
      <c r="X6" s="11"/>
      <c r="Y6" s="11"/>
      <c r="Z6" s="11"/>
      <c r="AA6" s="11"/>
      <c r="AB6" s="11"/>
    </row>
    <row r="7" spans="1:28" x14ac:dyDescent="0.2">
      <c r="A7" s="11">
        <v>3150</v>
      </c>
      <c r="B7" s="11">
        <v>1001</v>
      </c>
      <c r="C7" s="11" t="s">
        <v>61</v>
      </c>
      <c r="D7" s="11" t="s">
        <v>62</v>
      </c>
      <c r="E7" s="11" t="s">
        <v>63</v>
      </c>
      <c r="F7" s="11" t="s">
        <v>67</v>
      </c>
      <c r="G7" s="11" t="s">
        <v>68</v>
      </c>
      <c r="H7" s="11">
        <v>32328</v>
      </c>
      <c r="I7" s="12">
        <v>37714</v>
      </c>
      <c r="J7" s="11"/>
      <c r="K7" s="11" t="s">
        <v>66</v>
      </c>
      <c r="L7" s="11" t="s">
        <v>67</v>
      </c>
      <c r="M7" s="11" t="s">
        <v>68</v>
      </c>
      <c r="N7" s="9">
        <v>3437212490</v>
      </c>
      <c r="O7" s="9" t="s">
        <v>199</v>
      </c>
      <c r="P7" s="11">
        <v>4</v>
      </c>
      <c r="Q7" s="16">
        <v>12.5</v>
      </c>
      <c r="R7" s="16">
        <f t="shared" si="0"/>
        <v>50</v>
      </c>
      <c r="S7" s="11"/>
      <c r="T7" s="11"/>
      <c r="U7" s="11"/>
      <c r="V7" s="16"/>
      <c r="W7" s="16"/>
      <c r="X7" s="11"/>
      <c r="Y7" s="11"/>
      <c r="Z7" s="11"/>
      <c r="AA7" s="11"/>
      <c r="AB7" s="11"/>
    </row>
    <row r="8" spans="1:28" x14ac:dyDescent="0.2">
      <c r="A8" s="11">
        <v>4570</v>
      </c>
      <c r="B8" s="11">
        <v>1001</v>
      </c>
      <c r="C8" s="11" t="s">
        <v>61</v>
      </c>
      <c r="D8" s="11" t="s">
        <v>62</v>
      </c>
      <c r="E8" s="11" t="s">
        <v>63</v>
      </c>
      <c r="F8" s="11" t="s">
        <v>67</v>
      </c>
      <c r="G8" s="11" t="s">
        <v>68</v>
      </c>
      <c r="H8" s="11">
        <v>32328</v>
      </c>
      <c r="I8" s="12">
        <v>37714</v>
      </c>
      <c r="J8" s="12">
        <v>37715</v>
      </c>
      <c r="K8" s="11" t="s">
        <v>66</v>
      </c>
      <c r="L8" s="11" t="s">
        <v>67</v>
      </c>
      <c r="M8" s="11" t="s">
        <v>68</v>
      </c>
      <c r="N8" s="9">
        <v>3957136468</v>
      </c>
      <c r="O8" s="9" t="s">
        <v>201</v>
      </c>
      <c r="P8" s="11">
        <v>3</v>
      </c>
      <c r="Q8" s="16">
        <v>47.25</v>
      </c>
      <c r="R8" s="16">
        <f t="shared" si="0"/>
        <v>141.75</v>
      </c>
      <c r="S8" s="11"/>
      <c r="T8" s="11"/>
      <c r="U8" s="11"/>
      <c r="V8" s="16"/>
      <c r="W8" s="16"/>
      <c r="X8" s="11"/>
      <c r="Y8" s="11"/>
      <c r="Z8" s="11"/>
      <c r="AA8" s="11"/>
      <c r="AB8" s="11"/>
    </row>
    <row r="9" spans="1:28" x14ac:dyDescent="0.2">
      <c r="A9" s="11">
        <v>5414</v>
      </c>
      <c r="B9" s="11">
        <v>1001</v>
      </c>
      <c r="C9" s="11" t="s">
        <v>61</v>
      </c>
      <c r="D9" s="11" t="s">
        <v>62</v>
      </c>
      <c r="E9" s="11" t="s">
        <v>63</v>
      </c>
      <c r="F9" s="11" t="s">
        <v>67</v>
      </c>
      <c r="G9" s="11" t="s">
        <v>68</v>
      </c>
      <c r="H9" s="11">
        <v>32328</v>
      </c>
      <c r="I9" s="12">
        <v>37714</v>
      </c>
      <c r="J9" s="12">
        <v>37716</v>
      </c>
      <c r="K9" s="11" t="s">
        <v>66</v>
      </c>
      <c r="L9" s="11" t="s">
        <v>67</v>
      </c>
      <c r="M9" s="11" t="s">
        <v>68</v>
      </c>
      <c r="N9" s="9">
        <v>1915762492</v>
      </c>
      <c r="O9" s="9" t="s">
        <v>202</v>
      </c>
      <c r="P9" s="11">
        <v>1</v>
      </c>
      <c r="Q9" s="16">
        <v>21.8</v>
      </c>
      <c r="R9" s="16">
        <f t="shared" si="0"/>
        <v>21.8</v>
      </c>
      <c r="S9" s="11"/>
      <c r="T9" s="11"/>
      <c r="U9" s="11"/>
      <c r="V9" s="16"/>
      <c r="W9" s="16"/>
      <c r="X9" s="11"/>
      <c r="Y9" s="11"/>
      <c r="Z9" s="11"/>
      <c r="AA9" s="11"/>
      <c r="AB9" s="11"/>
    </row>
    <row r="10" spans="1:28" x14ac:dyDescent="0.2">
      <c r="A10" s="11">
        <v>6324</v>
      </c>
      <c r="B10" s="11">
        <v>1001</v>
      </c>
      <c r="C10" s="11" t="s">
        <v>61</v>
      </c>
      <c r="D10" s="11" t="s">
        <v>62</v>
      </c>
      <c r="E10" s="11" t="s">
        <v>63</v>
      </c>
      <c r="F10" s="11" t="s">
        <v>67</v>
      </c>
      <c r="G10" s="11" t="s">
        <v>68</v>
      </c>
      <c r="H10" s="11">
        <v>32328</v>
      </c>
      <c r="I10" s="12">
        <v>37713</v>
      </c>
      <c r="J10" s="12">
        <v>37715</v>
      </c>
      <c r="K10" s="11" t="s">
        <v>66</v>
      </c>
      <c r="L10" s="11" t="s">
        <v>67</v>
      </c>
      <c r="M10" s="11" t="s">
        <v>68</v>
      </c>
      <c r="N10" s="9">
        <v>1059831198</v>
      </c>
      <c r="O10" s="9" t="s">
        <v>191</v>
      </c>
      <c r="P10" s="11">
        <v>3</v>
      </c>
      <c r="Q10" s="16">
        <v>18.75</v>
      </c>
      <c r="R10" s="16">
        <f>P10*Q10</f>
        <v>56.25</v>
      </c>
      <c r="S10" s="11"/>
      <c r="T10" s="11"/>
      <c r="U10" s="11"/>
      <c r="V10" s="16"/>
      <c r="W10" s="16"/>
      <c r="X10" s="11"/>
      <c r="Y10" s="11"/>
      <c r="Z10" s="11"/>
      <c r="AA10" s="11"/>
      <c r="AB10" s="11"/>
    </row>
    <row r="11" spans="1:28" x14ac:dyDescent="0.2">
      <c r="A11" s="11">
        <v>6754</v>
      </c>
      <c r="B11" s="11">
        <v>1001</v>
      </c>
      <c r="C11" s="11" t="s">
        <v>61</v>
      </c>
      <c r="D11" s="11" t="s">
        <v>62</v>
      </c>
      <c r="E11" s="11" t="s">
        <v>63</v>
      </c>
      <c r="F11" s="11" t="s">
        <v>67</v>
      </c>
      <c r="G11" s="11" t="s">
        <v>68</v>
      </c>
      <c r="H11" s="11">
        <v>32328</v>
      </c>
      <c r="I11" s="12">
        <v>37713</v>
      </c>
      <c r="J11" s="12">
        <v>37714</v>
      </c>
      <c r="K11" s="11" t="s">
        <v>66</v>
      </c>
      <c r="L11" s="11" t="s">
        <v>67</v>
      </c>
      <c r="M11" s="11" t="s">
        <v>68</v>
      </c>
      <c r="N11" s="9">
        <v>1915762492</v>
      </c>
      <c r="O11" s="9" t="s">
        <v>202</v>
      </c>
      <c r="P11" s="11">
        <v>1</v>
      </c>
      <c r="Q11" s="15">
        <v>21.8</v>
      </c>
      <c r="R11" s="15">
        <f t="shared" ref="R11:R15" si="2">P11*Q11</f>
        <v>21.8</v>
      </c>
      <c r="S11" s="9">
        <v>3957136468</v>
      </c>
      <c r="T11" s="9" t="s">
        <v>201</v>
      </c>
      <c r="U11" s="11">
        <v>3</v>
      </c>
      <c r="V11" s="15">
        <v>47.25</v>
      </c>
      <c r="W11" s="15">
        <f t="shared" ref="W11:W12" si="3">U11*V11</f>
        <v>141.75</v>
      </c>
      <c r="X11" s="11"/>
      <c r="Y11" s="11"/>
      <c r="Z11" s="11"/>
      <c r="AA11" s="11"/>
      <c r="AB11" s="11"/>
    </row>
    <row r="12" spans="1:28" x14ac:dyDescent="0.2">
      <c r="A12" s="11">
        <v>6867</v>
      </c>
      <c r="B12" s="11">
        <v>1001</v>
      </c>
      <c r="C12" s="11" t="s">
        <v>61</v>
      </c>
      <c r="D12" s="11" t="s">
        <v>62</v>
      </c>
      <c r="E12" s="11" t="s">
        <v>63</v>
      </c>
      <c r="F12" s="11" t="s">
        <v>67</v>
      </c>
      <c r="G12" s="11" t="s">
        <v>68</v>
      </c>
      <c r="H12" s="11">
        <v>32328</v>
      </c>
      <c r="I12" s="12">
        <v>37712</v>
      </c>
      <c r="J12" s="12">
        <v>37712</v>
      </c>
      <c r="K12" s="11" t="s">
        <v>66</v>
      </c>
      <c r="L12" s="11" t="s">
        <v>67</v>
      </c>
      <c r="M12" s="11" t="s">
        <v>68</v>
      </c>
      <c r="N12" s="9">
        <v>9959789321</v>
      </c>
      <c r="O12" s="9" t="s">
        <v>203</v>
      </c>
      <c r="P12" s="11">
        <v>1</v>
      </c>
      <c r="Q12" s="15">
        <v>37.9</v>
      </c>
      <c r="R12" s="15">
        <f t="shared" si="2"/>
        <v>37.9</v>
      </c>
      <c r="S12" s="9">
        <v>1915762492</v>
      </c>
      <c r="T12" s="9" t="s">
        <v>202</v>
      </c>
      <c r="U12" s="11">
        <v>1</v>
      </c>
      <c r="V12" s="15">
        <v>21.8</v>
      </c>
      <c r="W12" s="15">
        <f t="shared" si="3"/>
        <v>21.8</v>
      </c>
      <c r="X12" s="11"/>
      <c r="Y12" s="11"/>
      <c r="Z12" s="11"/>
      <c r="AA12" s="11"/>
      <c r="AB12" s="11"/>
    </row>
    <row r="13" spans="1:28" x14ac:dyDescent="0.2">
      <c r="A13" s="11">
        <v>7091</v>
      </c>
      <c r="B13" s="11">
        <v>1001</v>
      </c>
      <c r="C13" s="11" t="s">
        <v>61</v>
      </c>
      <c r="D13" s="11" t="s">
        <v>62</v>
      </c>
      <c r="E13" s="11" t="s">
        <v>63</v>
      </c>
      <c r="F13" s="11" t="s">
        <v>67</v>
      </c>
      <c r="G13" s="11" t="s">
        <v>68</v>
      </c>
      <c r="H13" s="11">
        <v>32328</v>
      </c>
      <c r="I13" s="12">
        <v>37712</v>
      </c>
      <c r="J13" s="12">
        <v>37713</v>
      </c>
      <c r="K13" s="11" t="s">
        <v>66</v>
      </c>
      <c r="L13" s="11" t="s">
        <v>67</v>
      </c>
      <c r="M13" s="11" t="s">
        <v>68</v>
      </c>
      <c r="N13" s="9">
        <v>2491748320</v>
      </c>
      <c r="O13" s="9" t="s">
        <v>204</v>
      </c>
      <c r="P13" s="11">
        <v>2</v>
      </c>
      <c r="Q13" s="16">
        <v>48</v>
      </c>
      <c r="R13" s="16">
        <f t="shared" si="2"/>
        <v>96</v>
      </c>
      <c r="S13" s="11"/>
      <c r="T13" s="11"/>
      <c r="U13" s="11"/>
      <c r="V13" s="16"/>
      <c r="W13" s="16"/>
      <c r="X13" s="11"/>
      <c r="Y13" s="11"/>
      <c r="Z13" s="11"/>
      <c r="AA13" s="11"/>
      <c r="AB13" s="11"/>
    </row>
    <row r="14" spans="1:28" x14ac:dyDescent="0.2">
      <c r="A14" s="11">
        <v>7764</v>
      </c>
      <c r="B14" s="11">
        <v>1001</v>
      </c>
      <c r="C14" s="11" t="s">
        <v>61</v>
      </c>
      <c r="D14" s="11" t="s">
        <v>62</v>
      </c>
      <c r="E14" s="11" t="s">
        <v>63</v>
      </c>
      <c r="F14" s="11" t="s">
        <v>67</v>
      </c>
      <c r="G14" s="11" t="s">
        <v>68</v>
      </c>
      <c r="H14" s="11">
        <v>32328</v>
      </c>
      <c r="I14" s="12">
        <v>37712</v>
      </c>
      <c r="J14" s="12">
        <v>37716</v>
      </c>
      <c r="K14" s="11" t="s">
        <v>66</v>
      </c>
      <c r="L14" s="11" t="s">
        <v>67</v>
      </c>
      <c r="M14" s="11" t="s">
        <v>68</v>
      </c>
      <c r="N14" s="9">
        <v>299282519</v>
      </c>
      <c r="O14" s="9" t="s">
        <v>205</v>
      </c>
      <c r="P14" s="11">
        <v>2</v>
      </c>
      <c r="Q14" s="16">
        <v>19</v>
      </c>
      <c r="R14" s="16">
        <f t="shared" si="2"/>
        <v>38</v>
      </c>
      <c r="S14" s="11"/>
      <c r="T14" s="11"/>
      <c r="U14" s="11"/>
      <c r="V14" s="16"/>
      <c r="W14" s="16"/>
      <c r="X14" s="11"/>
      <c r="Y14" s="11"/>
      <c r="Z14" s="11"/>
      <c r="AA14" s="11"/>
      <c r="AB14" s="11"/>
    </row>
    <row r="15" spans="1:28" x14ac:dyDescent="0.2">
      <c r="A15" s="11">
        <v>7778</v>
      </c>
      <c r="B15" s="11">
        <v>1001</v>
      </c>
      <c r="C15" s="11" t="s">
        <v>61</v>
      </c>
      <c r="D15" s="11" t="s">
        <v>62</v>
      </c>
      <c r="E15" s="11" t="s">
        <v>63</v>
      </c>
      <c r="F15" s="11" t="s">
        <v>67</v>
      </c>
      <c r="G15" s="11" t="s">
        <v>68</v>
      </c>
      <c r="H15" s="11">
        <v>32328</v>
      </c>
      <c r="I15" s="12">
        <v>37734</v>
      </c>
      <c r="J15" s="12">
        <v>37738</v>
      </c>
      <c r="K15" s="11" t="s">
        <v>66</v>
      </c>
      <c r="L15" s="11" t="s">
        <v>67</v>
      </c>
      <c r="M15" s="11" t="s">
        <v>68</v>
      </c>
      <c r="N15" s="9">
        <v>1915762492</v>
      </c>
      <c r="O15" s="9" t="s">
        <v>202</v>
      </c>
      <c r="P15" s="11">
        <v>1</v>
      </c>
      <c r="Q15" s="16">
        <v>21.8</v>
      </c>
      <c r="R15" s="16">
        <f t="shared" si="2"/>
        <v>21.8</v>
      </c>
      <c r="S15" s="11"/>
      <c r="T15" s="11"/>
      <c r="U15" s="11"/>
      <c r="V15" s="16"/>
      <c r="W15" s="16"/>
      <c r="X15" s="11"/>
      <c r="Y15" s="11"/>
      <c r="Z15" s="11"/>
      <c r="AA15" s="11"/>
      <c r="AB15" s="11"/>
    </row>
    <row r="16" spans="1:28" x14ac:dyDescent="0.2">
      <c r="A16" s="11">
        <v>7822</v>
      </c>
      <c r="B16" s="11">
        <v>1001</v>
      </c>
      <c r="C16" s="11" t="s">
        <v>61</v>
      </c>
      <c r="D16" s="11" t="s">
        <v>62</v>
      </c>
      <c r="E16" s="11" t="s">
        <v>63</v>
      </c>
      <c r="F16" s="11" t="s">
        <v>67</v>
      </c>
      <c r="G16" s="11" t="s">
        <v>68</v>
      </c>
      <c r="H16" s="11">
        <v>32328</v>
      </c>
      <c r="I16" s="12">
        <v>37712</v>
      </c>
      <c r="J16" s="12">
        <v>37713</v>
      </c>
      <c r="K16" s="11" t="s">
        <v>66</v>
      </c>
      <c r="L16" s="11" t="s">
        <v>67</v>
      </c>
      <c r="M16" s="11" t="s">
        <v>68</v>
      </c>
      <c r="N16" s="9">
        <v>1059831198</v>
      </c>
      <c r="O16" s="9" t="s">
        <v>191</v>
      </c>
      <c r="P16" s="11">
        <v>3</v>
      </c>
      <c r="Q16" s="16">
        <v>18.75</v>
      </c>
      <c r="R16" s="16">
        <f>P16*Q16</f>
        <v>56.25</v>
      </c>
      <c r="S16" s="11"/>
      <c r="T16" s="11"/>
      <c r="U16" s="11"/>
      <c r="V16" s="16"/>
      <c r="W16" s="16"/>
      <c r="X16" s="11"/>
      <c r="Y16" s="11"/>
      <c r="Z16" s="11"/>
      <c r="AA16" s="11"/>
      <c r="AB16" s="11"/>
    </row>
    <row r="17" spans="1:28" x14ac:dyDescent="0.2">
      <c r="A17" s="11">
        <v>8144</v>
      </c>
      <c r="B17" s="11">
        <v>1001</v>
      </c>
      <c r="C17" s="11" t="s">
        <v>61</v>
      </c>
      <c r="D17" s="11" t="s">
        <v>62</v>
      </c>
      <c r="E17" s="11" t="s">
        <v>63</v>
      </c>
      <c r="F17" s="11" t="s">
        <v>67</v>
      </c>
      <c r="G17" s="11" t="s">
        <v>68</v>
      </c>
      <c r="H17" s="11">
        <v>32328</v>
      </c>
      <c r="I17" s="12">
        <v>37714</v>
      </c>
      <c r="J17" s="12">
        <v>37715</v>
      </c>
      <c r="K17" s="11" t="s">
        <v>66</v>
      </c>
      <c r="L17" s="11" t="s">
        <v>67</v>
      </c>
      <c r="M17" s="11" t="s">
        <v>68</v>
      </c>
      <c r="N17" s="9">
        <v>8117949391</v>
      </c>
      <c r="O17" s="9" t="s">
        <v>206</v>
      </c>
      <c r="P17" s="11">
        <v>1</v>
      </c>
      <c r="Q17" s="15">
        <v>5.32</v>
      </c>
      <c r="R17" s="15">
        <f t="shared" ref="R17:R19" si="4">P17*Q17</f>
        <v>5.32</v>
      </c>
      <c r="S17" s="9">
        <v>2491748320</v>
      </c>
      <c r="T17" s="9" t="s">
        <v>204</v>
      </c>
      <c r="U17" s="11">
        <v>2</v>
      </c>
      <c r="V17" s="15">
        <v>48</v>
      </c>
      <c r="W17" s="15">
        <f t="shared" ref="W17:W18" si="5">U17*V17</f>
        <v>96</v>
      </c>
      <c r="X17" s="9">
        <v>4981341710</v>
      </c>
      <c r="Y17" s="9" t="s">
        <v>195</v>
      </c>
      <c r="Z17" s="11">
        <v>1</v>
      </c>
      <c r="AA17" s="15">
        <v>14.2</v>
      </c>
      <c r="AB17" s="15">
        <f t="shared" ref="AB17" si="6">Z17*AA17</f>
        <v>14.2</v>
      </c>
    </row>
    <row r="18" spans="1:28" x14ac:dyDescent="0.2">
      <c r="A18" s="11">
        <v>8412</v>
      </c>
      <c r="B18" s="11">
        <v>1001</v>
      </c>
      <c r="C18" s="11" t="s">
        <v>61</v>
      </c>
      <c r="D18" s="11" t="s">
        <v>62</v>
      </c>
      <c r="E18" s="11" t="s">
        <v>63</v>
      </c>
      <c r="F18" s="11" t="s">
        <v>67</v>
      </c>
      <c r="G18" s="11" t="s">
        <v>68</v>
      </c>
      <c r="H18" s="11">
        <v>32328</v>
      </c>
      <c r="I18" s="12">
        <v>37711</v>
      </c>
      <c r="J18" s="12">
        <v>37712</v>
      </c>
      <c r="K18" s="11" t="s">
        <v>66</v>
      </c>
      <c r="L18" s="11" t="s">
        <v>67</v>
      </c>
      <c r="M18" s="11" t="s">
        <v>68</v>
      </c>
      <c r="N18" s="9">
        <v>132149871</v>
      </c>
      <c r="O18" s="9" t="s">
        <v>207</v>
      </c>
      <c r="P18" s="11">
        <v>3</v>
      </c>
      <c r="Q18" s="15">
        <v>17.850000000000001</v>
      </c>
      <c r="R18" s="15">
        <f t="shared" si="4"/>
        <v>53.550000000000004</v>
      </c>
      <c r="S18" s="9">
        <v>299282519</v>
      </c>
      <c r="T18" s="9" t="s">
        <v>205</v>
      </c>
      <c r="U18" s="11">
        <v>2</v>
      </c>
      <c r="V18" s="15">
        <v>19</v>
      </c>
      <c r="W18" s="15">
        <f t="shared" si="5"/>
        <v>38</v>
      </c>
      <c r="X18" s="11"/>
      <c r="Y18" s="11"/>
      <c r="Z18" s="11"/>
      <c r="AA18" s="11"/>
      <c r="AB18" s="11"/>
    </row>
    <row r="19" spans="1:28" x14ac:dyDescent="0.2">
      <c r="A19" s="11">
        <v>9379</v>
      </c>
      <c r="B19" s="11">
        <v>1001</v>
      </c>
      <c r="C19" s="11" t="s">
        <v>61</v>
      </c>
      <c r="D19" s="11" t="s">
        <v>62</v>
      </c>
      <c r="E19" s="11" t="s">
        <v>63</v>
      </c>
      <c r="F19" s="11" t="s">
        <v>67</v>
      </c>
      <c r="G19" s="11" t="s">
        <v>68</v>
      </c>
      <c r="H19" s="11">
        <v>32328</v>
      </c>
      <c r="I19" s="12">
        <v>37711</v>
      </c>
      <c r="J19" s="12">
        <v>37713</v>
      </c>
      <c r="K19" s="11" t="s">
        <v>66</v>
      </c>
      <c r="L19" s="11" t="s">
        <v>67</v>
      </c>
      <c r="M19" s="11" t="s">
        <v>68</v>
      </c>
      <c r="N19" s="9">
        <v>9247381001</v>
      </c>
      <c r="O19" s="9" t="s">
        <v>209</v>
      </c>
      <c r="P19" s="11">
        <v>2</v>
      </c>
      <c r="Q19" s="16">
        <v>15.4</v>
      </c>
      <c r="R19" s="16">
        <f t="shared" si="4"/>
        <v>30.8</v>
      </c>
      <c r="S19" s="11"/>
      <c r="T19" s="11"/>
      <c r="U19" s="11"/>
      <c r="V19" s="16"/>
      <c r="W19" s="16"/>
      <c r="X19" s="11"/>
      <c r="Y19" s="11"/>
      <c r="Z19" s="11"/>
      <c r="AA19" s="11"/>
      <c r="AB19" s="11"/>
    </row>
    <row r="20" spans="1:28" x14ac:dyDescent="0.2">
      <c r="A20" s="8">
        <v>10621</v>
      </c>
      <c r="B20" s="11">
        <v>1001</v>
      </c>
      <c r="C20" s="11" t="s">
        <v>61</v>
      </c>
      <c r="D20" s="11" t="s">
        <v>62</v>
      </c>
      <c r="E20" s="11" t="s">
        <v>63</v>
      </c>
      <c r="F20" s="11" t="s">
        <v>67</v>
      </c>
      <c r="G20" s="11" t="s">
        <v>68</v>
      </c>
      <c r="H20" s="11">
        <v>32328</v>
      </c>
      <c r="I20" s="12">
        <v>37711</v>
      </c>
      <c r="J20" s="12">
        <v>37713</v>
      </c>
      <c r="K20" s="11" t="s">
        <v>66</v>
      </c>
      <c r="L20" s="11" t="s">
        <v>67</v>
      </c>
      <c r="M20" s="11" t="s">
        <v>68</v>
      </c>
      <c r="N20" s="9">
        <v>9247381001</v>
      </c>
      <c r="O20" s="9" t="s">
        <v>209</v>
      </c>
      <c r="P20" s="11">
        <v>2</v>
      </c>
      <c r="Q20" s="16">
        <v>15.4</v>
      </c>
      <c r="R20" s="16">
        <f t="shared" ref="R20:R45" si="7">P20*Q20</f>
        <v>30.8</v>
      </c>
      <c r="S20" s="11"/>
      <c r="T20" s="11"/>
      <c r="U20" s="11"/>
      <c r="V20" s="16"/>
      <c r="W20" s="16"/>
      <c r="X20" s="11"/>
      <c r="Y20" s="11"/>
      <c r="Z20" s="11"/>
      <c r="AA20" s="11"/>
      <c r="AB20" s="11"/>
    </row>
    <row r="21" spans="1:28" x14ac:dyDescent="0.2">
      <c r="A21" s="8">
        <v>11014</v>
      </c>
      <c r="B21" s="11">
        <v>1001</v>
      </c>
      <c r="C21" s="11" t="s">
        <v>61</v>
      </c>
      <c r="D21" s="11" t="s">
        <v>62</v>
      </c>
      <c r="E21" s="11" t="s">
        <v>63</v>
      </c>
      <c r="F21" s="11" t="s">
        <v>67</v>
      </c>
      <c r="G21" s="11" t="s">
        <v>68</v>
      </c>
      <c r="H21" s="11">
        <v>32328</v>
      </c>
      <c r="I21" s="12">
        <v>37711</v>
      </c>
      <c r="J21" s="12">
        <v>37713</v>
      </c>
      <c r="K21" s="11" t="s">
        <v>66</v>
      </c>
      <c r="L21" s="11" t="s">
        <v>67</v>
      </c>
      <c r="M21" s="11" t="s">
        <v>68</v>
      </c>
      <c r="N21" s="9">
        <v>9247381001</v>
      </c>
      <c r="O21" s="9" t="s">
        <v>209</v>
      </c>
      <c r="P21" s="11">
        <v>2</v>
      </c>
      <c r="Q21" s="16">
        <v>15.4</v>
      </c>
      <c r="R21" s="16">
        <f t="shared" si="7"/>
        <v>30.8</v>
      </c>
      <c r="S21" s="11"/>
      <c r="T21" s="11"/>
      <c r="U21" s="11"/>
      <c r="V21" s="16"/>
      <c r="W21" s="16"/>
      <c r="X21" s="11"/>
      <c r="Y21" s="11"/>
      <c r="Z21" s="11"/>
      <c r="AA21" s="11"/>
      <c r="AB21" s="11"/>
    </row>
    <row r="22" spans="1:28" x14ac:dyDescent="0.2">
      <c r="A22" s="8">
        <v>11448</v>
      </c>
      <c r="B22" s="11">
        <v>1001</v>
      </c>
      <c r="C22" s="11" t="s">
        <v>61</v>
      </c>
      <c r="D22" s="11" t="s">
        <v>62</v>
      </c>
      <c r="E22" s="11" t="s">
        <v>63</v>
      </c>
      <c r="F22" s="11" t="s">
        <v>67</v>
      </c>
      <c r="G22" s="11" t="s">
        <v>68</v>
      </c>
      <c r="H22" s="11">
        <v>32328</v>
      </c>
      <c r="I22" s="12">
        <v>37711</v>
      </c>
      <c r="J22" s="12">
        <v>37713</v>
      </c>
      <c r="K22" s="11" t="s">
        <v>66</v>
      </c>
      <c r="L22" s="11" t="s">
        <v>67</v>
      </c>
      <c r="M22" s="11" t="s">
        <v>68</v>
      </c>
      <c r="N22" s="9">
        <v>9247381001</v>
      </c>
      <c r="O22" s="9" t="s">
        <v>191</v>
      </c>
      <c r="P22" s="11">
        <v>2</v>
      </c>
      <c r="Q22" s="16">
        <v>15.4</v>
      </c>
      <c r="R22" s="16">
        <f t="shared" si="7"/>
        <v>30.8</v>
      </c>
      <c r="S22" s="11"/>
      <c r="T22" s="11"/>
      <c r="U22" s="11"/>
      <c r="V22" s="16"/>
      <c r="W22" s="16"/>
      <c r="X22" s="11"/>
      <c r="Y22" s="11"/>
      <c r="Z22" s="11"/>
      <c r="AA22" s="11"/>
      <c r="AB22" s="11"/>
    </row>
    <row r="23" spans="1:28" x14ac:dyDescent="0.2">
      <c r="A23" s="8">
        <v>12214</v>
      </c>
      <c r="B23" s="11">
        <v>1001</v>
      </c>
      <c r="C23" s="11" t="s">
        <v>61</v>
      </c>
      <c r="D23" s="11" t="s">
        <v>62</v>
      </c>
      <c r="E23" s="11" t="s">
        <v>63</v>
      </c>
      <c r="F23" s="11" t="s">
        <v>67</v>
      </c>
      <c r="G23" s="11" t="s">
        <v>68</v>
      </c>
      <c r="H23" s="11">
        <v>32328</v>
      </c>
      <c r="I23" s="12">
        <v>37711</v>
      </c>
      <c r="J23" s="12">
        <v>37713</v>
      </c>
      <c r="K23" s="11" t="s">
        <v>66</v>
      </c>
      <c r="L23" s="11" t="s">
        <v>67</v>
      </c>
      <c r="M23" s="11" t="s">
        <v>68</v>
      </c>
      <c r="N23" s="9">
        <v>9247381001</v>
      </c>
      <c r="O23" s="9" t="s">
        <v>209</v>
      </c>
      <c r="P23" s="11">
        <v>2</v>
      </c>
      <c r="Q23" s="16">
        <v>15.4</v>
      </c>
      <c r="R23" s="16">
        <f t="shared" si="7"/>
        <v>30.8</v>
      </c>
      <c r="S23" s="11"/>
      <c r="T23" s="11"/>
      <c r="U23" s="11"/>
      <c r="V23" s="16"/>
      <c r="W23" s="16"/>
      <c r="X23" s="11"/>
      <c r="Y23" s="11"/>
      <c r="Z23" s="11"/>
      <c r="AA23" s="11"/>
      <c r="AB23" s="11"/>
    </row>
    <row r="24" spans="1:28" x14ac:dyDescent="0.2">
      <c r="A24" s="8">
        <v>12441</v>
      </c>
      <c r="B24" s="11">
        <v>1001</v>
      </c>
      <c r="C24" s="11" t="s">
        <v>61</v>
      </c>
      <c r="D24" s="11" t="s">
        <v>62</v>
      </c>
      <c r="E24" s="11" t="s">
        <v>63</v>
      </c>
      <c r="F24" s="11" t="s">
        <v>67</v>
      </c>
      <c r="G24" s="11" t="s">
        <v>68</v>
      </c>
      <c r="H24" s="11">
        <v>32328</v>
      </c>
      <c r="I24" s="12">
        <v>37711</v>
      </c>
      <c r="J24" s="12">
        <v>37713</v>
      </c>
      <c r="K24" s="11" t="s">
        <v>66</v>
      </c>
      <c r="L24" s="11" t="s">
        <v>67</v>
      </c>
      <c r="M24" s="11" t="s">
        <v>68</v>
      </c>
      <c r="N24" s="9">
        <v>9247381001</v>
      </c>
      <c r="O24" s="9" t="s">
        <v>195</v>
      </c>
      <c r="P24" s="11">
        <v>2</v>
      </c>
      <c r="Q24" s="16">
        <v>15.4</v>
      </c>
      <c r="R24" s="16">
        <f t="shared" si="7"/>
        <v>30.8</v>
      </c>
      <c r="S24" s="11"/>
      <c r="T24" s="11"/>
      <c r="U24" s="11"/>
      <c r="V24" s="16"/>
      <c r="W24" s="16"/>
      <c r="X24" s="11"/>
      <c r="Y24" s="11"/>
      <c r="Z24" s="11"/>
      <c r="AA24" s="11"/>
      <c r="AB24" s="11"/>
    </row>
    <row r="25" spans="1:28" x14ac:dyDescent="0.2">
      <c r="A25" s="8">
        <v>12512</v>
      </c>
      <c r="B25" s="11">
        <v>1001</v>
      </c>
      <c r="C25" s="11" t="s">
        <v>61</v>
      </c>
      <c r="D25" s="11" t="s">
        <v>62</v>
      </c>
      <c r="E25" s="11" t="s">
        <v>63</v>
      </c>
      <c r="F25" s="11" t="s">
        <v>67</v>
      </c>
      <c r="G25" s="11" t="s">
        <v>68</v>
      </c>
      <c r="H25" s="11">
        <v>32328</v>
      </c>
      <c r="I25" s="12">
        <v>37711</v>
      </c>
      <c r="J25" s="12">
        <v>37713</v>
      </c>
      <c r="K25" s="11" t="s">
        <v>66</v>
      </c>
      <c r="L25" s="11" t="s">
        <v>67</v>
      </c>
      <c r="M25" s="11" t="s">
        <v>68</v>
      </c>
      <c r="N25" s="9">
        <v>9247381001</v>
      </c>
      <c r="O25" s="9" t="s">
        <v>191</v>
      </c>
      <c r="P25" s="11">
        <v>2</v>
      </c>
      <c r="Q25" s="16">
        <v>15.4</v>
      </c>
      <c r="R25" s="16">
        <f t="shared" si="7"/>
        <v>30.8</v>
      </c>
      <c r="S25" s="9">
        <v>8117949391</v>
      </c>
      <c r="T25" s="9" t="s">
        <v>206</v>
      </c>
      <c r="U25" s="11">
        <v>1</v>
      </c>
      <c r="V25" s="15">
        <v>5.32</v>
      </c>
      <c r="W25" s="15">
        <f t="shared" ref="W25:W26" si="8">U25*V25</f>
        <v>5.32</v>
      </c>
      <c r="X25" s="11"/>
      <c r="Y25" s="11"/>
      <c r="Z25" s="11"/>
      <c r="AA25" s="11"/>
      <c r="AB25" s="11"/>
    </row>
    <row r="26" spans="1:28" x14ac:dyDescent="0.2">
      <c r="A26" s="8">
        <v>13162</v>
      </c>
      <c r="B26" s="11">
        <v>1001</v>
      </c>
      <c r="C26" s="11" t="s">
        <v>61</v>
      </c>
      <c r="D26" s="11" t="s">
        <v>62</v>
      </c>
      <c r="E26" s="11" t="s">
        <v>63</v>
      </c>
      <c r="F26" s="11" t="s">
        <v>67</v>
      </c>
      <c r="G26" s="11" t="s">
        <v>68</v>
      </c>
      <c r="H26" s="11">
        <v>32328</v>
      </c>
      <c r="I26" s="12">
        <v>37711</v>
      </c>
      <c r="J26" s="12">
        <v>37713</v>
      </c>
      <c r="K26" s="11" t="s">
        <v>66</v>
      </c>
      <c r="L26" s="11" t="s">
        <v>67</v>
      </c>
      <c r="M26" s="11" t="s">
        <v>68</v>
      </c>
      <c r="N26" s="9">
        <v>9247381001</v>
      </c>
      <c r="O26" s="9" t="s">
        <v>199</v>
      </c>
      <c r="P26" s="11">
        <v>2</v>
      </c>
      <c r="Q26" s="16">
        <v>15.4</v>
      </c>
      <c r="R26" s="16">
        <f t="shared" si="7"/>
        <v>30.8</v>
      </c>
      <c r="S26" s="9">
        <v>132149871</v>
      </c>
      <c r="T26" s="9" t="s">
        <v>207</v>
      </c>
      <c r="U26" s="11">
        <v>3</v>
      </c>
      <c r="V26" s="15">
        <v>17.850000000000001</v>
      </c>
      <c r="W26" s="15">
        <f t="shared" si="8"/>
        <v>53.550000000000004</v>
      </c>
      <c r="X26" s="11"/>
      <c r="Y26" s="11"/>
      <c r="Z26" s="11"/>
      <c r="AA26" s="11"/>
      <c r="AB26" s="11"/>
    </row>
    <row r="27" spans="1:28" x14ac:dyDescent="0.2">
      <c r="A27" s="8">
        <v>13897</v>
      </c>
      <c r="B27" s="11">
        <v>1001</v>
      </c>
      <c r="C27" s="11" t="s">
        <v>61</v>
      </c>
      <c r="D27" s="11" t="s">
        <v>62</v>
      </c>
      <c r="E27" s="11" t="s">
        <v>63</v>
      </c>
      <c r="F27" s="11" t="s">
        <v>67</v>
      </c>
      <c r="G27" s="11" t="s">
        <v>68</v>
      </c>
      <c r="H27" s="11">
        <v>32328</v>
      </c>
      <c r="I27" s="12">
        <v>37711</v>
      </c>
      <c r="J27" s="12">
        <v>37713</v>
      </c>
      <c r="K27" s="11" t="s">
        <v>66</v>
      </c>
      <c r="L27" s="11" t="s">
        <v>67</v>
      </c>
      <c r="M27" s="11" t="s">
        <v>68</v>
      </c>
      <c r="N27" s="9">
        <v>9247381001</v>
      </c>
      <c r="O27" s="9" t="s">
        <v>201</v>
      </c>
      <c r="P27" s="11">
        <v>2</v>
      </c>
      <c r="Q27" s="16">
        <v>15.4</v>
      </c>
      <c r="R27" s="16">
        <f t="shared" si="7"/>
        <v>30.8</v>
      </c>
      <c r="S27" s="11"/>
      <c r="T27" s="11"/>
      <c r="U27" s="11"/>
      <c r="V27" s="16"/>
      <c r="W27" s="16"/>
      <c r="X27" s="11"/>
      <c r="Y27" s="11"/>
      <c r="Z27" s="11"/>
      <c r="AA27" s="11"/>
      <c r="AB27" s="11"/>
    </row>
    <row r="28" spans="1:28" x14ac:dyDescent="0.2">
      <c r="A28" s="8">
        <v>14440</v>
      </c>
      <c r="B28" s="11">
        <v>1001</v>
      </c>
      <c r="C28" s="11" t="s">
        <v>61</v>
      </c>
      <c r="D28" s="11" t="s">
        <v>62</v>
      </c>
      <c r="E28" s="11" t="s">
        <v>63</v>
      </c>
      <c r="F28" s="11" t="s">
        <v>67</v>
      </c>
      <c r="G28" s="11" t="s">
        <v>68</v>
      </c>
      <c r="H28" s="11">
        <v>32328</v>
      </c>
      <c r="I28" s="12">
        <v>37711</v>
      </c>
      <c r="J28" s="12">
        <v>37713</v>
      </c>
      <c r="K28" s="11" t="s">
        <v>66</v>
      </c>
      <c r="L28" s="11" t="s">
        <v>67</v>
      </c>
      <c r="M28" s="11" t="s">
        <v>68</v>
      </c>
      <c r="N28" s="9">
        <v>9247381001</v>
      </c>
      <c r="O28" s="9" t="s">
        <v>202</v>
      </c>
      <c r="P28" s="11">
        <v>2</v>
      </c>
      <c r="Q28" s="16">
        <v>15.4</v>
      </c>
      <c r="R28" s="16">
        <f t="shared" si="7"/>
        <v>30.8</v>
      </c>
      <c r="S28" s="11"/>
      <c r="T28" s="11"/>
      <c r="U28" s="11"/>
      <c r="V28" s="16"/>
      <c r="W28" s="16"/>
      <c r="X28" s="11"/>
      <c r="Y28" s="11"/>
      <c r="Z28" s="11"/>
      <c r="AA28" s="11"/>
      <c r="AB28" s="11"/>
    </row>
    <row r="29" spans="1:28" x14ac:dyDescent="0.2">
      <c r="A29" s="8">
        <v>14689</v>
      </c>
      <c r="B29" s="11">
        <v>1001</v>
      </c>
      <c r="C29" s="11" t="s">
        <v>61</v>
      </c>
      <c r="D29" s="11" t="s">
        <v>62</v>
      </c>
      <c r="E29" s="11" t="s">
        <v>63</v>
      </c>
      <c r="F29" s="11" t="s">
        <v>67</v>
      </c>
      <c r="G29" s="11" t="s">
        <v>68</v>
      </c>
      <c r="H29" s="11">
        <v>32328</v>
      </c>
      <c r="I29" s="12">
        <v>37711</v>
      </c>
      <c r="J29" s="12">
        <v>37713</v>
      </c>
      <c r="K29" s="11" t="s">
        <v>66</v>
      </c>
      <c r="L29" s="11" t="s">
        <v>67</v>
      </c>
      <c r="M29" s="11" t="s">
        <v>68</v>
      </c>
      <c r="N29" s="9">
        <v>9247381001</v>
      </c>
      <c r="O29" s="9" t="s">
        <v>191</v>
      </c>
      <c r="P29" s="11">
        <v>2</v>
      </c>
      <c r="Q29" s="16">
        <v>15.4</v>
      </c>
      <c r="R29" s="16">
        <f t="shared" si="7"/>
        <v>30.8</v>
      </c>
      <c r="S29" s="11"/>
      <c r="T29" s="11"/>
      <c r="U29" s="11"/>
      <c r="V29" s="16"/>
      <c r="W29" s="16"/>
      <c r="X29" s="9">
        <v>8117949391</v>
      </c>
      <c r="Y29" s="9" t="s">
        <v>206</v>
      </c>
      <c r="Z29" s="11">
        <v>1</v>
      </c>
      <c r="AA29" s="15">
        <v>5.32</v>
      </c>
      <c r="AB29" s="15">
        <f t="shared" ref="AB29:AB30" si="9">Z29*AA29</f>
        <v>5.32</v>
      </c>
    </row>
    <row r="30" spans="1:28" x14ac:dyDescent="0.2">
      <c r="A30" s="8">
        <v>15596</v>
      </c>
      <c r="B30" s="11">
        <v>1001</v>
      </c>
      <c r="C30" s="11" t="s">
        <v>61</v>
      </c>
      <c r="D30" s="11" t="s">
        <v>62</v>
      </c>
      <c r="E30" s="11" t="s">
        <v>63</v>
      </c>
      <c r="F30" s="11" t="s">
        <v>67</v>
      </c>
      <c r="G30" s="11" t="s">
        <v>68</v>
      </c>
      <c r="H30" s="11">
        <v>32328</v>
      </c>
      <c r="I30" s="12">
        <v>37711</v>
      </c>
      <c r="J30" s="12">
        <v>37713</v>
      </c>
      <c r="K30" s="11" t="s">
        <v>66</v>
      </c>
      <c r="L30" s="11" t="s">
        <v>67</v>
      </c>
      <c r="M30" s="11" t="s">
        <v>68</v>
      </c>
      <c r="N30" s="9">
        <v>9247381001</v>
      </c>
      <c r="O30" s="9" t="s">
        <v>202</v>
      </c>
      <c r="P30" s="11">
        <v>2</v>
      </c>
      <c r="Q30" s="16">
        <v>15.4</v>
      </c>
      <c r="R30" s="16">
        <f t="shared" si="7"/>
        <v>30.8</v>
      </c>
      <c r="S30" s="11"/>
      <c r="T30" s="11"/>
      <c r="U30" s="11"/>
      <c r="V30" s="16"/>
      <c r="W30" s="16"/>
      <c r="X30" s="9">
        <v>132149871</v>
      </c>
      <c r="Y30" s="9" t="s">
        <v>207</v>
      </c>
      <c r="Z30" s="11">
        <v>3</v>
      </c>
      <c r="AA30" s="15">
        <v>17.850000000000001</v>
      </c>
      <c r="AB30" s="15">
        <f t="shared" si="9"/>
        <v>53.550000000000004</v>
      </c>
    </row>
    <row r="31" spans="1:28" x14ac:dyDescent="0.2">
      <c r="A31" s="8">
        <v>15691</v>
      </c>
      <c r="B31" s="11">
        <v>1001</v>
      </c>
      <c r="C31" s="11" t="s">
        <v>61</v>
      </c>
      <c r="D31" s="11" t="s">
        <v>62</v>
      </c>
      <c r="E31" s="11" t="s">
        <v>63</v>
      </c>
      <c r="F31" s="11" t="s">
        <v>67</v>
      </c>
      <c r="G31" s="11" t="s">
        <v>68</v>
      </c>
      <c r="H31" s="11">
        <v>32328</v>
      </c>
      <c r="I31" s="12">
        <v>37711</v>
      </c>
      <c r="J31" s="12">
        <v>37713</v>
      </c>
      <c r="K31" s="11" t="s">
        <v>66</v>
      </c>
      <c r="L31" s="11" t="s">
        <v>67</v>
      </c>
      <c r="M31" s="11" t="s">
        <v>68</v>
      </c>
      <c r="N31" s="9">
        <v>9247381001</v>
      </c>
      <c r="O31" s="9" t="s">
        <v>203</v>
      </c>
      <c r="P31" s="11">
        <v>2</v>
      </c>
      <c r="Q31" s="16">
        <v>15.4</v>
      </c>
      <c r="R31" s="16">
        <f t="shared" si="7"/>
        <v>30.8</v>
      </c>
      <c r="S31" s="11"/>
      <c r="T31" s="11"/>
      <c r="U31" s="11"/>
      <c r="V31" s="16"/>
      <c r="W31" s="16"/>
      <c r="X31" s="11"/>
      <c r="Y31" s="11"/>
      <c r="Z31" s="11"/>
      <c r="AA31" s="11"/>
      <c r="AB31" s="11"/>
    </row>
    <row r="32" spans="1:28" x14ac:dyDescent="0.2">
      <c r="A32" s="8">
        <v>16183</v>
      </c>
      <c r="B32" s="11">
        <v>1001</v>
      </c>
      <c r="C32" s="11" t="s">
        <v>61</v>
      </c>
      <c r="D32" s="11" t="s">
        <v>62</v>
      </c>
      <c r="E32" s="11" t="s">
        <v>63</v>
      </c>
      <c r="F32" s="11" t="s">
        <v>67</v>
      </c>
      <c r="G32" s="11" t="s">
        <v>68</v>
      </c>
      <c r="H32" s="11">
        <v>32328</v>
      </c>
      <c r="I32" s="12">
        <v>37711</v>
      </c>
      <c r="J32" s="12">
        <v>37713</v>
      </c>
      <c r="K32" s="11" t="s">
        <v>66</v>
      </c>
      <c r="L32" s="11" t="s">
        <v>67</v>
      </c>
      <c r="M32" s="11" t="s">
        <v>68</v>
      </c>
      <c r="N32" s="9">
        <v>9247381001</v>
      </c>
      <c r="O32" s="9" t="s">
        <v>204</v>
      </c>
      <c r="P32" s="11">
        <v>2</v>
      </c>
      <c r="Q32" s="16">
        <v>15.4</v>
      </c>
      <c r="R32" s="16">
        <f t="shared" si="7"/>
        <v>30.8</v>
      </c>
      <c r="S32" s="9">
        <v>9247381001</v>
      </c>
      <c r="T32" s="9" t="s">
        <v>209</v>
      </c>
      <c r="U32" s="11">
        <v>2</v>
      </c>
      <c r="V32" s="16">
        <v>15.4</v>
      </c>
      <c r="W32" s="16">
        <f t="shared" ref="W32:W33" si="10">U32*V32</f>
        <v>30.8</v>
      </c>
      <c r="X32" s="11"/>
      <c r="Y32" s="11"/>
      <c r="Z32" s="11"/>
      <c r="AA32" s="11"/>
      <c r="AB32" s="11"/>
    </row>
    <row r="33" spans="1:28" x14ac:dyDescent="0.2">
      <c r="A33" s="8">
        <v>16211</v>
      </c>
      <c r="B33" s="11">
        <v>1001</v>
      </c>
      <c r="C33" s="11" t="s">
        <v>61</v>
      </c>
      <c r="D33" s="11" t="s">
        <v>62</v>
      </c>
      <c r="E33" s="11" t="s">
        <v>63</v>
      </c>
      <c r="F33" s="11" t="s">
        <v>67</v>
      </c>
      <c r="G33" s="11" t="s">
        <v>68</v>
      </c>
      <c r="H33" s="11">
        <v>32328</v>
      </c>
      <c r="I33" s="12">
        <v>37711</v>
      </c>
      <c r="J33" s="12">
        <v>37713</v>
      </c>
      <c r="K33" s="11" t="s">
        <v>66</v>
      </c>
      <c r="L33" s="11" t="s">
        <v>67</v>
      </c>
      <c r="M33" s="11" t="s">
        <v>68</v>
      </c>
      <c r="N33" s="9">
        <v>9247381001</v>
      </c>
      <c r="O33" s="9" t="s">
        <v>205</v>
      </c>
      <c r="P33" s="11">
        <v>2</v>
      </c>
      <c r="Q33" s="16">
        <v>15.4</v>
      </c>
      <c r="R33" s="16">
        <f t="shared" si="7"/>
        <v>30.8</v>
      </c>
      <c r="S33" s="9">
        <v>9247381001</v>
      </c>
      <c r="T33" s="9" t="s">
        <v>195</v>
      </c>
      <c r="U33" s="11">
        <v>2</v>
      </c>
      <c r="V33" s="16">
        <v>15.4</v>
      </c>
      <c r="W33" s="16">
        <f t="shared" si="10"/>
        <v>30.8</v>
      </c>
      <c r="X33" s="11"/>
      <c r="Y33" s="11"/>
      <c r="Z33" s="11"/>
      <c r="AA33" s="11"/>
      <c r="AB33" s="11"/>
    </row>
    <row r="34" spans="1:28" x14ac:dyDescent="0.2">
      <c r="A34" s="8">
        <v>16444</v>
      </c>
      <c r="B34" s="11">
        <v>1001</v>
      </c>
      <c r="C34" s="11" t="s">
        <v>61</v>
      </c>
      <c r="D34" s="11" t="s">
        <v>62</v>
      </c>
      <c r="E34" s="11" t="s">
        <v>63</v>
      </c>
      <c r="F34" s="11" t="s">
        <v>67</v>
      </c>
      <c r="G34" s="11" t="s">
        <v>68</v>
      </c>
      <c r="H34" s="11">
        <v>32328</v>
      </c>
      <c r="I34" s="12">
        <v>37711</v>
      </c>
      <c r="J34" s="12">
        <v>37713</v>
      </c>
      <c r="K34" s="11" t="s">
        <v>66</v>
      </c>
      <c r="L34" s="11" t="s">
        <v>67</v>
      </c>
      <c r="M34" s="11" t="s">
        <v>68</v>
      </c>
      <c r="N34" s="9">
        <v>9247381001</v>
      </c>
      <c r="O34" s="9" t="s">
        <v>202</v>
      </c>
      <c r="P34" s="11">
        <v>2</v>
      </c>
      <c r="Q34" s="16">
        <v>15.4</v>
      </c>
      <c r="R34" s="16">
        <f t="shared" si="7"/>
        <v>30.8</v>
      </c>
      <c r="S34" s="11"/>
      <c r="T34" s="11"/>
      <c r="U34" s="11"/>
      <c r="V34" s="16"/>
      <c r="W34" s="16"/>
      <c r="X34" s="11"/>
      <c r="Y34" s="11"/>
      <c r="Z34" s="11"/>
      <c r="AA34" s="11"/>
      <c r="AB34" s="11"/>
    </row>
    <row r="35" spans="1:28" x14ac:dyDescent="0.2">
      <c r="A35" s="8">
        <v>17524</v>
      </c>
      <c r="B35" s="11">
        <v>1001</v>
      </c>
      <c r="C35" s="11" t="s">
        <v>61</v>
      </c>
      <c r="D35" s="11" t="s">
        <v>62</v>
      </c>
      <c r="E35" s="11" t="s">
        <v>63</v>
      </c>
      <c r="F35" s="11" t="s">
        <v>67</v>
      </c>
      <c r="G35" s="11" t="s">
        <v>68</v>
      </c>
      <c r="H35" s="11">
        <v>32328</v>
      </c>
      <c r="I35" s="12">
        <v>37711</v>
      </c>
      <c r="J35" s="12">
        <v>37713</v>
      </c>
      <c r="K35" s="11" t="s">
        <v>66</v>
      </c>
      <c r="L35" s="11" t="s">
        <v>67</v>
      </c>
      <c r="M35" s="11" t="s">
        <v>68</v>
      </c>
      <c r="N35" s="9">
        <v>9247381001</v>
      </c>
      <c r="O35" s="9" t="s">
        <v>195</v>
      </c>
      <c r="P35" s="11">
        <v>2</v>
      </c>
      <c r="Q35" s="16">
        <v>15.4</v>
      </c>
      <c r="R35" s="16">
        <f t="shared" si="7"/>
        <v>30.8</v>
      </c>
      <c r="S35" s="11"/>
      <c r="T35" s="11"/>
      <c r="U35" s="11"/>
      <c r="V35" s="16"/>
      <c r="W35" s="16"/>
      <c r="X35" s="11"/>
      <c r="Y35" s="11"/>
      <c r="Z35" s="11"/>
      <c r="AA35" s="11"/>
      <c r="AB35" s="11"/>
    </row>
    <row r="36" spans="1:28" x14ac:dyDescent="0.2">
      <c r="A36" s="8">
        <v>18303</v>
      </c>
      <c r="B36" s="11">
        <v>1001</v>
      </c>
      <c r="C36" s="11" t="s">
        <v>61</v>
      </c>
      <c r="D36" s="11" t="s">
        <v>62</v>
      </c>
      <c r="E36" s="11" t="s">
        <v>63</v>
      </c>
      <c r="F36" s="11" t="s">
        <v>67</v>
      </c>
      <c r="G36" s="11" t="s">
        <v>68</v>
      </c>
      <c r="H36" s="11">
        <v>32328</v>
      </c>
      <c r="I36" s="12">
        <v>37711</v>
      </c>
      <c r="J36" s="12">
        <v>37713</v>
      </c>
      <c r="K36" s="11" t="s">
        <v>66</v>
      </c>
      <c r="L36" s="11" t="s">
        <v>67</v>
      </c>
      <c r="M36" s="11" t="s">
        <v>68</v>
      </c>
      <c r="N36" s="9">
        <v>9247381001</v>
      </c>
      <c r="O36" s="9" t="s">
        <v>191</v>
      </c>
      <c r="P36" s="11">
        <v>2</v>
      </c>
      <c r="Q36" s="16">
        <v>15.4</v>
      </c>
      <c r="R36" s="16">
        <f t="shared" si="7"/>
        <v>30.8</v>
      </c>
      <c r="S36" s="11"/>
      <c r="T36" s="11"/>
      <c r="U36" s="11"/>
      <c r="V36" s="16"/>
      <c r="W36" s="16"/>
      <c r="X36" s="11"/>
      <c r="Y36" s="11"/>
      <c r="Z36" s="11"/>
      <c r="AA36" s="11"/>
      <c r="AB36" s="11"/>
    </row>
    <row r="37" spans="1:28" x14ac:dyDescent="0.2">
      <c r="A37" s="8">
        <v>18528</v>
      </c>
      <c r="B37" s="11">
        <v>1001</v>
      </c>
      <c r="C37" s="11" t="s">
        <v>61</v>
      </c>
      <c r="D37" s="11" t="s">
        <v>62</v>
      </c>
      <c r="E37" s="11" t="s">
        <v>63</v>
      </c>
      <c r="F37" s="11" t="s">
        <v>67</v>
      </c>
      <c r="G37" s="11" t="s">
        <v>68</v>
      </c>
      <c r="H37" s="11">
        <v>32328</v>
      </c>
      <c r="I37" s="12">
        <v>37711</v>
      </c>
      <c r="J37" s="12">
        <v>37713</v>
      </c>
      <c r="K37" s="11" t="s">
        <v>66</v>
      </c>
      <c r="L37" s="11" t="s">
        <v>67</v>
      </c>
      <c r="M37" s="11" t="s">
        <v>68</v>
      </c>
      <c r="N37" s="9">
        <v>9247381001</v>
      </c>
      <c r="O37" s="9" t="s">
        <v>199</v>
      </c>
      <c r="P37" s="11">
        <v>2</v>
      </c>
      <c r="Q37" s="16">
        <v>15.4</v>
      </c>
      <c r="R37" s="16">
        <f t="shared" si="7"/>
        <v>30.8</v>
      </c>
      <c r="S37" s="11"/>
      <c r="T37" s="11"/>
      <c r="U37" s="11"/>
      <c r="V37" s="16"/>
      <c r="W37" s="16"/>
      <c r="X37" s="11"/>
      <c r="Y37" s="11"/>
      <c r="Z37" s="11"/>
      <c r="AA37" s="11"/>
      <c r="AB37" s="11"/>
    </row>
    <row r="38" spans="1:28" x14ac:dyDescent="0.2">
      <c r="A38" s="8">
        <v>19687</v>
      </c>
      <c r="B38" s="11">
        <v>1001</v>
      </c>
      <c r="C38" s="11" t="s">
        <v>61</v>
      </c>
      <c r="D38" s="11" t="s">
        <v>62</v>
      </c>
      <c r="E38" s="11" t="s">
        <v>63</v>
      </c>
      <c r="F38" s="11" t="s">
        <v>67</v>
      </c>
      <c r="G38" s="11" t="s">
        <v>68</v>
      </c>
      <c r="H38" s="11">
        <v>32328</v>
      </c>
      <c r="I38" s="12">
        <v>37711</v>
      </c>
      <c r="J38" s="12">
        <v>37713</v>
      </c>
      <c r="K38" s="11" t="s">
        <v>66</v>
      </c>
      <c r="L38" s="11" t="s">
        <v>67</v>
      </c>
      <c r="M38" s="11" t="s">
        <v>68</v>
      </c>
      <c r="N38" s="9">
        <v>9247381001</v>
      </c>
      <c r="O38" s="9" t="s">
        <v>201</v>
      </c>
      <c r="P38" s="11">
        <v>2</v>
      </c>
      <c r="Q38" s="16">
        <v>15.4</v>
      </c>
      <c r="R38" s="16">
        <f t="shared" si="7"/>
        <v>30.8</v>
      </c>
      <c r="S38" s="11"/>
      <c r="T38" s="11"/>
      <c r="U38" s="11"/>
      <c r="V38" s="16"/>
      <c r="W38" s="16"/>
      <c r="X38" s="11"/>
      <c r="Y38" s="11"/>
      <c r="Z38" s="11"/>
      <c r="AA38" s="11"/>
      <c r="AB38" s="11"/>
    </row>
    <row r="39" spans="1:28" x14ac:dyDescent="0.2">
      <c r="A39" s="8">
        <v>19740</v>
      </c>
      <c r="B39" s="11">
        <v>1001</v>
      </c>
      <c r="C39" s="11" t="s">
        <v>61</v>
      </c>
      <c r="D39" s="11" t="s">
        <v>62</v>
      </c>
      <c r="E39" s="11" t="s">
        <v>63</v>
      </c>
      <c r="F39" s="11" t="s">
        <v>67</v>
      </c>
      <c r="G39" s="11" t="s">
        <v>68</v>
      </c>
      <c r="H39" s="11">
        <v>32328</v>
      </c>
      <c r="I39" s="12">
        <v>37711</v>
      </c>
      <c r="J39" s="12">
        <v>37713</v>
      </c>
      <c r="K39" s="11" t="s">
        <v>66</v>
      </c>
      <c r="L39" s="11" t="s">
        <v>67</v>
      </c>
      <c r="M39" s="11" t="s">
        <v>68</v>
      </c>
      <c r="N39" s="9">
        <v>9247381001</v>
      </c>
      <c r="O39" s="9" t="s">
        <v>202</v>
      </c>
      <c r="P39" s="11">
        <v>2</v>
      </c>
      <c r="Q39" s="16">
        <v>15.4</v>
      </c>
      <c r="R39" s="16">
        <f t="shared" si="7"/>
        <v>30.8</v>
      </c>
      <c r="S39" s="11"/>
      <c r="T39" s="11"/>
      <c r="U39" s="11"/>
      <c r="V39" s="16"/>
      <c r="W39" s="16"/>
      <c r="X39" s="11"/>
      <c r="Y39" s="11"/>
      <c r="Z39" s="11"/>
      <c r="AA39" s="11"/>
      <c r="AB39" s="11"/>
    </row>
    <row r="40" spans="1:28" x14ac:dyDescent="0.2">
      <c r="A40" s="8">
        <v>20950</v>
      </c>
      <c r="B40" s="11">
        <v>1001</v>
      </c>
      <c r="C40" s="11" t="s">
        <v>61</v>
      </c>
      <c r="D40" s="11" t="s">
        <v>62</v>
      </c>
      <c r="E40" s="11" t="s">
        <v>63</v>
      </c>
      <c r="F40" s="11" t="s">
        <v>67</v>
      </c>
      <c r="G40" s="11" t="s">
        <v>68</v>
      </c>
      <c r="H40" s="11">
        <v>32328</v>
      </c>
      <c r="I40" s="12">
        <v>37711</v>
      </c>
      <c r="J40" s="12">
        <v>37713</v>
      </c>
      <c r="K40" s="11" t="s">
        <v>66</v>
      </c>
      <c r="L40" s="11" t="s">
        <v>67</v>
      </c>
      <c r="M40" s="11" t="s">
        <v>68</v>
      </c>
      <c r="N40" s="9">
        <v>9247381001</v>
      </c>
      <c r="O40" s="9" t="s">
        <v>191</v>
      </c>
      <c r="P40" s="11">
        <v>2</v>
      </c>
      <c r="Q40" s="16">
        <v>15.4</v>
      </c>
      <c r="R40" s="16">
        <f t="shared" si="7"/>
        <v>30.8</v>
      </c>
      <c r="S40" s="11"/>
      <c r="T40" s="11"/>
      <c r="U40" s="11"/>
      <c r="V40" s="16"/>
      <c r="W40" s="16"/>
      <c r="X40" s="11"/>
      <c r="Y40" s="11"/>
      <c r="Z40" s="11"/>
      <c r="AA40" s="11"/>
      <c r="AB40" s="11"/>
    </row>
    <row r="41" spans="1:28" x14ac:dyDescent="0.2">
      <c r="A41" s="8">
        <v>21769</v>
      </c>
      <c r="B41" s="11">
        <v>1001</v>
      </c>
      <c r="C41" s="11" t="s">
        <v>61</v>
      </c>
      <c r="D41" s="11" t="s">
        <v>62</v>
      </c>
      <c r="E41" s="11" t="s">
        <v>63</v>
      </c>
      <c r="F41" s="11" t="s">
        <v>67</v>
      </c>
      <c r="G41" s="11" t="s">
        <v>68</v>
      </c>
      <c r="H41" s="11">
        <v>32328</v>
      </c>
      <c r="I41" s="12">
        <v>37711</v>
      </c>
      <c r="J41" s="12">
        <v>37713</v>
      </c>
      <c r="K41" s="11" t="s">
        <v>66</v>
      </c>
      <c r="L41" s="11" t="s">
        <v>67</v>
      </c>
      <c r="M41" s="11" t="s">
        <v>68</v>
      </c>
      <c r="N41" s="9">
        <v>9247381001</v>
      </c>
      <c r="O41" s="9" t="s">
        <v>202</v>
      </c>
      <c r="P41" s="11">
        <v>2</v>
      </c>
      <c r="Q41" s="16">
        <v>15.4</v>
      </c>
      <c r="R41" s="16">
        <f t="shared" si="7"/>
        <v>30.8</v>
      </c>
      <c r="S41" s="11"/>
      <c r="T41" s="11"/>
      <c r="U41" s="11"/>
      <c r="V41" s="16"/>
      <c r="W41" s="16"/>
      <c r="X41" s="11"/>
      <c r="Y41" s="11"/>
      <c r="Z41" s="11"/>
      <c r="AA41" s="11"/>
      <c r="AB41" s="11"/>
    </row>
    <row r="42" spans="1:28" x14ac:dyDescent="0.2">
      <c r="A42" s="8">
        <v>21878</v>
      </c>
      <c r="B42" s="11">
        <v>1001</v>
      </c>
      <c r="C42" s="11" t="s">
        <v>61</v>
      </c>
      <c r="D42" s="11" t="s">
        <v>62</v>
      </c>
      <c r="E42" s="11" t="s">
        <v>63</v>
      </c>
      <c r="F42" s="11" t="s">
        <v>67</v>
      </c>
      <c r="G42" s="11" t="s">
        <v>68</v>
      </c>
      <c r="H42" s="11">
        <v>32328</v>
      </c>
      <c r="I42" s="12">
        <v>37711</v>
      </c>
      <c r="J42" s="12">
        <v>37713</v>
      </c>
      <c r="K42" s="11" t="s">
        <v>66</v>
      </c>
      <c r="L42" s="11" t="s">
        <v>67</v>
      </c>
      <c r="M42" s="11" t="s">
        <v>68</v>
      </c>
      <c r="N42" s="9">
        <v>9247381001</v>
      </c>
      <c r="O42" s="9" t="s">
        <v>203</v>
      </c>
      <c r="P42" s="11">
        <v>2</v>
      </c>
      <c r="Q42" s="16">
        <v>15.4</v>
      </c>
      <c r="R42" s="16">
        <f t="shared" si="7"/>
        <v>30.8</v>
      </c>
      <c r="S42" s="11"/>
      <c r="T42" s="11"/>
      <c r="U42" s="11"/>
      <c r="V42" s="16"/>
      <c r="W42" s="16"/>
      <c r="X42" s="11"/>
      <c r="Y42" s="11"/>
      <c r="Z42" s="11"/>
      <c r="AA42" s="11"/>
      <c r="AB42" s="11"/>
    </row>
    <row r="43" spans="1:28" x14ac:dyDescent="0.2">
      <c r="A43" s="8">
        <v>21898</v>
      </c>
      <c r="B43" s="11">
        <v>1001</v>
      </c>
      <c r="C43" s="11" t="s">
        <v>61</v>
      </c>
      <c r="D43" s="11" t="s">
        <v>62</v>
      </c>
      <c r="E43" s="11" t="s">
        <v>63</v>
      </c>
      <c r="F43" s="11" t="s">
        <v>67</v>
      </c>
      <c r="G43" s="11" t="s">
        <v>68</v>
      </c>
      <c r="H43" s="11">
        <v>32328</v>
      </c>
      <c r="I43" s="12">
        <v>37711</v>
      </c>
      <c r="J43" s="12">
        <v>37713</v>
      </c>
      <c r="K43" s="11" t="s">
        <v>66</v>
      </c>
      <c r="L43" s="11" t="s">
        <v>67</v>
      </c>
      <c r="M43" s="11" t="s">
        <v>68</v>
      </c>
      <c r="N43" s="9">
        <v>9247381001</v>
      </c>
      <c r="O43" s="9" t="s">
        <v>204</v>
      </c>
      <c r="P43" s="11">
        <v>2</v>
      </c>
      <c r="Q43" s="16">
        <v>15.4</v>
      </c>
      <c r="R43" s="16">
        <f t="shared" si="7"/>
        <v>30.8</v>
      </c>
      <c r="S43" s="11"/>
      <c r="T43" s="11"/>
      <c r="U43" s="11"/>
      <c r="V43" s="16"/>
      <c r="W43" s="16"/>
      <c r="X43" s="11"/>
      <c r="Y43" s="11"/>
      <c r="Z43" s="11"/>
      <c r="AA43" s="11"/>
      <c r="AB43" s="11"/>
    </row>
    <row r="44" spans="1:28" x14ac:dyDescent="0.2">
      <c r="A44" s="8">
        <v>22535</v>
      </c>
      <c r="B44" s="11">
        <v>1001</v>
      </c>
      <c r="C44" s="11" t="s">
        <v>61</v>
      </c>
      <c r="D44" s="11" t="s">
        <v>62</v>
      </c>
      <c r="E44" s="11" t="s">
        <v>63</v>
      </c>
      <c r="F44" s="11" t="s">
        <v>67</v>
      </c>
      <c r="G44" s="11" t="s">
        <v>68</v>
      </c>
      <c r="H44" s="11">
        <v>32328</v>
      </c>
      <c r="I44" s="12">
        <v>37711</v>
      </c>
      <c r="J44" s="12">
        <v>37713</v>
      </c>
      <c r="K44" s="11" t="s">
        <v>66</v>
      </c>
      <c r="L44" s="11" t="s">
        <v>67</v>
      </c>
      <c r="M44" s="11" t="s">
        <v>68</v>
      </c>
      <c r="N44" s="9">
        <v>9247381001</v>
      </c>
      <c r="O44" s="9" t="s">
        <v>205</v>
      </c>
      <c r="P44" s="11">
        <v>2</v>
      </c>
      <c r="Q44" s="16">
        <v>15.4</v>
      </c>
      <c r="R44" s="16">
        <f t="shared" si="7"/>
        <v>30.8</v>
      </c>
      <c r="S44" s="11"/>
      <c r="T44" s="11"/>
      <c r="U44" s="11"/>
      <c r="V44" s="16"/>
      <c r="W44" s="16"/>
      <c r="X44" s="11"/>
      <c r="Y44" s="11"/>
      <c r="Z44" s="11"/>
      <c r="AA44" s="11"/>
      <c r="AB44" s="11"/>
    </row>
    <row r="45" spans="1:28" x14ac:dyDescent="0.2">
      <c r="A45" s="8">
        <v>23416</v>
      </c>
      <c r="B45" s="11">
        <v>1001</v>
      </c>
      <c r="C45" s="11" t="s">
        <v>61</v>
      </c>
      <c r="D45" s="11" t="s">
        <v>62</v>
      </c>
      <c r="E45" s="11" t="s">
        <v>63</v>
      </c>
      <c r="F45" s="11" t="s">
        <v>67</v>
      </c>
      <c r="G45" s="11" t="s">
        <v>68</v>
      </c>
      <c r="H45" s="11">
        <v>32328</v>
      </c>
      <c r="I45" s="12">
        <v>37711</v>
      </c>
      <c r="J45" s="12">
        <v>37713</v>
      </c>
      <c r="K45" s="11" t="s">
        <v>66</v>
      </c>
      <c r="L45" s="11" t="s">
        <v>67</v>
      </c>
      <c r="M45" s="11" t="s">
        <v>68</v>
      </c>
      <c r="N45" s="9">
        <v>9247381001</v>
      </c>
      <c r="O45" s="9" t="s">
        <v>202</v>
      </c>
      <c r="P45" s="11">
        <v>2</v>
      </c>
      <c r="Q45" s="16">
        <v>15.4</v>
      </c>
      <c r="R45" s="16">
        <f t="shared" si="7"/>
        <v>30.8</v>
      </c>
      <c r="S45" s="11"/>
      <c r="T45" s="11"/>
      <c r="U45" s="11"/>
      <c r="V45" s="16"/>
      <c r="W45" s="16"/>
      <c r="X45" s="11"/>
      <c r="Y45" s="11"/>
      <c r="Z45" s="11"/>
      <c r="AA45" s="11"/>
      <c r="AB45" s="11"/>
    </row>
    <row r="46" spans="1:28" ht="15" x14ac:dyDescent="0.25">
      <c r="O46"/>
    </row>
    <row r="47" spans="1:28" ht="15" x14ac:dyDescent="0.25">
      <c r="O47"/>
    </row>
    <row r="48" spans="1:28" ht="15" x14ac:dyDescent="0.25">
      <c r="O48"/>
    </row>
    <row r="49" spans="15:15" ht="15" x14ac:dyDescent="0.25">
      <c r="O49"/>
    </row>
    <row r="50" spans="15:15" ht="15" x14ac:dyDescent="0.25">
      <c r="O50"/>
    </row>
    <row r="51" spans="15:15" ht="15" x14ac:dyDescent="0.25">
      <c r="O51"/>
    </row>
    <row r="52" spans="15:15" ht="15" x14ac:dyDescent="0.25">
      <c r="O52"/>
    </row>
  </sheetData>
  <sortState ref="A17:A42">
    <sortCondition ref="A21"/>
  </sortState>
  <mergeCells count="1">
    <mergeCell ref="B2:N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Q66"/>
  <sheetViews>
    <sheetView showGridLines="0" topLeftCell="A31" workbookViewId="0">
      <selection activeCell="B35" sqref="B35"/>
    </sheetView>
  </sheetViews>
  <sheetFormatPr defaultRowHeight="12" x14ac:dyDescent="0.2"/>
  <cols>
    <col min="1" max="2" width="11.28515625" style="8" bestFit="1" customWidth="1"/>
    <col min="3" max="3" width="10.85546875" style="8" bestFit="1" customWidth="1"/>
    <col min="4" max="4" width="18" style="8" bestFit="1" customWidth="1"/>
    <col min="5" max="5" width="12.42578125" style="8" bestFit="1" customWidth="1"/>
    <col min="6" max="6" width="6.7109375" style="8" bestFit="1" customWidth="1"/>
    <col min="7" max="7" width="5.28515625" style="8" bestFit="1" customWidth="1"/>
    <col min="8" max="8" width="10.85546875" style="8" bestFit="1" customWidth="1"/>
    <col min="9" max="9" width="27.28515625" style="8" customWidth="1"/>
    <col min="10" max="10" width="11.85546875" style="8" bestFit="1" customWidth="1"/>
    <col min="11" max="12" width="11.42578125" style="8" bestFit="1" customWidth="1"/>
    <col min="13" max="13" width="9.7109375" style="8" bestFit="1" customWidth="1"/>
    <col min="14" max="14" width="19.140625" style="8" bestFit="1" customWidth="1"/>
    <col min="15" max="15" width="11.7109375" style="8" bestFit="1" customWidth="1"/>
    <col min="16" max="16" width="10.140625" style="8" bestFit="1" customWidth="1"/>
    <col min="17" max="17" width="8" style="8" bestFit="1" customWidth="1"/>
    <col min="18" max="16384" width="9.140625" style="8"/>
  </cols>
  <sheetData>
    <row r="2" spans="1:17" ht="18.75" x14ac:dyDescent="0.2">
      <c r="B2" s="260" t="s">
        <v>223</v>
      </c>
      <c r="C2" s="260"/>
      <c r="D2" s="260"/>
      <c r="E2" s="260"/>
      <c r="F2" s="260"/>
      <c r="G2" s="260"/>
      <c r="H2" s="260"/>
      <c r="I2" s="260"/>
      <c r="J2" s="260"/>
      <c r="K2" s="260"/>
      <c r="L2" s="260"/>
      <c r="M2" s="260"/>
      <c r="N2" s="260"/>
    </row>
    <row r="5" spans="1:17" x14ac:dyDescent="0.2">
      <c r="A5" s="261" t="s">
        <v>44</v>
      </c>
      <c r="B5" s="261"/>
      <c r="C5" s="261"/>
      <c r="D5" s="261"/>
      <c r="E5" s="261"/>
      <c r="F5" s="261"/>
      <c r="G5" s="261"/>
      <c r="H5" s="261"/>
      <c r="J5" s="261" t="s">
        <v>45</v>
      </c>
      <c r="K5" s="261"/>
      <c r="L5" s="261"/>
      <c r="M5" s="261"/>
      <c r="N5" s="261"/>
      <c r="O5" s="261"/>
      <c r="P5" s="261"/>
      <c r="Q5" s="261"/>
    </row>
    <row r="6" spans="1:17" x14ac:dyDescent="0.2">
      <c r="A6" s="9" t="s">
        <v>46</v>
      </c>
      <c r="B6" s="9" t="s">
        <v>47</v>
      </c>
      <c r="C6" s="9" t="s">
        <v>48</v>
      </c>
      <c r="D6" s="9" t="s">
        <v>49</v>
      </c>
      <c r="E6" s="9" t="s">
        <v>50</v>
      </c>
      <c r="F6" s="9" t="s">
        <v>51</v>
      </c>
      <c r="G6" s="9" t="s">
        <v>52</v>
      </c>
      <c r="H6" s="9" t="s">
        <v>53</v>
      </c>
      <c r="I6" s="10"/>
      <c r="J6" s="9" t="s">
        <v>54</v>
      </c>
      <c r="K6" s="9" t="s">
        <v>46</v>
      </c>
      <c r="L6" s="9" t="s">
        <v>55</v>
      </c>
      <c r="M6" s="9" t="s">
        <v>56</v>
      </c>
      <c r="N6" s="9" t="s">
        <v>57</v>
      </c>
      <c r="O6" s="9" t="s">
        <v>58</v>
      </c>
      <c r="P6" s="9" t="s">
        <v>59</v>
      </c>
      <c r="Q6" s="9" t="s">
        <v>60</v>
      </c>
    </row>
    <row r="7" spans="1:17" x14ac:dyDescent="0.2">
      <c r="A7" s="20">
        <v>1001</v>
      </c>
      <c r="B7" s="11" t="s">
        <v>61</v>
      </c>
      <c r="C7" s="11" t="s">
        <v>62</v>
      </c>
      <c r="D7" s="11" t="s">
        <v>63</v>
      </c>
      <c r="E7" s="11" t="s">
        <v>64</v>
      </c>
      <c r="F7" s="11" t="s">
        <v>65</v>
      </c>
      <c r="G7" s="11">
        <v>32328</v>
      </c>
      <c r="H7" s="11"/>
      <c r="J7" s="21">
        <v>1000</v>
      </c>
      <c r="K7" s="20">
        <v>1005</v>
      </c>
      <c r="L7" s="12">
        <v>37711</v>
      </c>
      <c r="M7" s="12">
        <v>37713</v>
      </c>
      <c r="N7" s="11" t="s">
        <v>66</v>
      </c>
      <c r="O7" s="11" t="s">
        <v>67</v>
      </c>
      <c r="P7" s="11" t="s">
        <v>68</v>
      </c>
      <c r="Q7" s="11"/>
    </row>
    <row r="8" spans="1:17" x14ac:dyDescent="0.2">
      <c r="A8" s="20">
        <v>1002</v>
      </c>
      <c r="B8" s="11" t="s">
        <v>69</v>
      </c>
      <c r="C8" s="11" t="s">
        <v>70</v>
      </c>
      <c r="D8" s="11" t="s">
        <v>71</v>
      </c>
      <c r="E8" s="11" t="s">
        <v>72</v>
      </c>
      <c r="F8" s="11" t="s">
        <v>73</v>
      </c>
      <c r="G8" s="11">
        <v>90404</v>
      </c>
      <c r="H8" s="11"/>
      <c r="J8" s="21">
        <v>1001</v>
      </c>
      <c r="K8" s="20">
        <v>1010</v>
      </c>
      <c r="L8" s="12">
        <v>37711</v>
      </c>
      <c r="M8" s="12">
        <v>37712</v>
      </c>
      <c r="N8" s="11" t="s">
        <v>74</v>
      </c>
      <c r="O8" s="11" t="s">
        <v>75</v>
      </c>
      <c r="P8" s="11" t="s">
        <v>76</v>
      </c>
      <c r="Q8" s="11"/>
    </row>
    <row r="9" spans="1:17" x14ac:dyDescent="0.2">
      <c r="A9" s="20">
        <v>1003</v>
      </c>
      <c r="B9" s="11" t="s">
        <v>77</v>
      </c>
      <c r="C9" s="11" t="s">
        <v>78</v>
      </c>
      <c r="D9" s="11" t="s">
        <v>79</v>
      </c>
      <c r="E9" s="11" t="s">
        <v>80</v>
      </c>
      <c r="F9" s="11" t="s">
        <v>65</v>
      </c>
      <c r="G9" s="11">
        <v>32306</v>
      </c>
      <c r="H9" s="11"/>
      <c r="J9" s="21">
        <v>1002</v>
      </c>
      <c r="K9" s="20">
        <v>1011</v>
      </c>
      <c r="L9" s="12">
        <v>37711</v>
      </c>
      <c r="M9" s="12">
        <v>37712</v>
      </c>
      <c r="N9" s="11" t="s">
        <v>81</v>
      </c>
      <c r="O9" s="11" t="s">
        <v>82</v>
      </c>
      <c r="P9" s="11" t="s">
        <v>83</v>
      </c>
      <c r="Q9" s="11"/>
    </row>
    <row r="10" spans="1:17" x14ac:dyDescent="0.2">
      <c r="A10" s="20">
        <v>1004</v>
      </c>
      <c r="B10" s="11" t="s">
        <v>84</v>
      </c>
      <c r="C10" s="11" t="s">
        <v>85</v>
      </c>
      <c r="D10" s="11" t="s">
        <v>86</v>
      </c>
      <c r="E10" s="11" t="s">
        <v>87</v>
      </c>
      <c r="F10" s="11" t="s">
        <v>88</v>
      </c>
      <c r="G10" s="11">
        <v>83707</v>
      </c>
      <c r="H10" s="11"/>
      <c r="J10" s="21">
        <v>1003</v>
      </c>
      <c r="K10" s="20">
        <v>1001</v>
      </c>
      <c r="L10" s="12">
        <v>37712</v>
      </c>
      <c r="M10" s="12">
        <v>37712</v>
      </c>
      <c r="N10" s="11" t="s">
        <v>89</v>
      </c>
      <c r="O10" s="11" t="s">
        <v>64</v>
      </c>
      <c r="P10" s="11" t="s">
        <v>65</v>
      </c>
      <c r="Q10" s="11"/>
    </row>
    <row r="11" spans="1:17" x14ac:dyDescent="0.2">
      <c r="A11" s="20">
        <v>1005</v>
      </c>
      <c r="B11" s="11" t="s">
        <v>90</v>
      </c>
      <c r="C11" s="11" t="s">
        <v>91</v>
      </c>
      <c r="D11" s="11" t="s">
        <v>92</v>
      </c>
      <c r="E11" s="11" t="s">
        <v>67</v>
      </c>
      <c r="F11" s="11" t="s">
        <v>68</v>
      </c>
      <c r="G11" s="11">
        <v>98115</v>
      </c>
      <c r="H11" s="11"/>
      <c r="J11" s="21">
        <v>1004</v>
      </c>
      <c r="K11" s="20">
        <v>1020</v>
      </c>
      <c r="L11" s="12">
        <v>37712</v>
      </c>
      <c r="M11" s="12">
        <v>37716</v>
      </c>
      <c r="N11" s="11" t="s">
        <v>93</v>
      </c>
      <c r="O11" s="11" t="s">
        <v>94</v>
      </c>
      <c r="P11" s="11" t="s">
        <v>95</v>
      </c>
      <c r="Q11" s="11"/>
    </row>
    <row r="12" spans="1:17" x14ac:dyDescent="0.2">
      <c r="A12" s="20">
        <v>1006</v>
      </c>
      <c r="B12" s="11" t="s">
        <v>96</v>
      </c>
      <c r="C12" s="11" t="s">
        <v>97</v>
      </c>
      <c r="D12" s="11" t="s">
        <v>98</v>
      </c>
      <c r="E12" s="11" t="s">
        <v>99</v>
      </c>
      <c r="F12" s="11" t="s">
        <v>100</v>
      </c>
      <c r="G12" s="11">
        <v>12211</v>
      </c>
      <c r="H12" s="11"/>
      <c r="J12" s="21">
        <v>1005</v>
      </c>
      <c r="K12" s="20">
        <v>1018</v>
      </c>
      <c r="L12" s="12">
        <v>37712</v>
      </c>
      <c r="M12" s="12">
        <v>37713</v>
      </c>
      <c r="N12" s="11" t="s">
        <v>101</v>
      </c>
      <c r="O12" s="11" t="s">
        <v>102</v>
      </c>
      <c r="P12" s="11" t="s">
        <v>76</v>
      </c>
      <c r="Q12" s="11"/>
    </row>
    <row r="13" spans="1:17" x14ac:dyDescent="0.2">
      <c r="A13" s="20">
        <v>1007</v>
      </c>
      <c r="B13" s="11" t="s">
        <v>103</v>
      </c>
      <c r="C13" s="11" t="s">
        <v>104</v>
      </c>
      <c r="D13" s="11" t="s">
        <v>105</v>
      </c>
      <c r="E13" s="11" t="s">
        <v>106</v>
      </c>
      <c r="F13" s="11" t="s">
        <v>107</v>
      </c>
      <c r="G13" s="11">
        <v>78710</v>
      </c>
      <c r="H13" s="11">
        <v>1003</v>
      </c>
      <c r="J13" s="21">
        <v>1006</v>
      </c>
      <c r="K13" s="20">
        <v>1003</v>
      </c>
      <c r="L13" s="12">
        <v>37712</v>
      </c>
      <c r="M13" s="12">
        <v>37713</v>
      </c>
      <c r="N13" s="11" t="s">
        <v>108</v>
      </c>
      <c r="O13" s="11" t="s">
        <v>80</v>
      </c>
      <c r="P13" s="11" t="s">
        <v>65</v>
      </c>
      <c r="Q13" s="11"/>
    </row>
    <row r="14" spans="1:17" x14ac:dyDescent="0.2">
      <c r="A14" s="20">
        <v>1008</v>
      </c>
      <c r="B14" s="11" t="s">
        <v>109</v>
      </c>
      <c r="C14" s="11" t="s">
        <v>110</v>
      </c>
      <c r="D14" s="11" t="s">
        <v>111</v>
      </c>
      <c r="E14" s="11" t="s">
        <v>112</v>
      </c>
      <c r="F14" s="11" t="s">
        <v>113</v>
      </c>
      <c r="G14" s="11">
        <v>82003</v>
      </c>
      <c r="H14" s="11"/>
      <c r="J14" s="21">
        <v>1007</v>
      </c>
      <c r="K14" s="20">
        <v>1007</v>
      </c>
      <c r="L14" s="12">
        <v>37713</v>
      </c>
      <c r="M14" s="12">
        <v>37715</v>
      </c>
      <c r="N14" s="11" t="s">
        <v>105</v>
      </c>
      <c r="O14" s="11" t="s">
        <v>106</v>
      </c>
      <c r="P14" s="11" t="s">
        <v>107</v>
      </c>
      <c r="Q14" s="11"/>
    </row>
    <row r="15" spans="1:17" x14ac:dyDescent="0.2">
      <c r="A15" s="20">
        <v>1009</v>
      </c>
      <c r="B15" s="11" t="s">
        <v>114</v>
      </c>
      <c r="C15" s="11" t="s">
        <v>115</v>
      </c>
      <c r="D15" s="11" t="s">
        <v>116</v>
      </c>
      <c r="E15" s="11" t="s">
        <v>117</v>
      </c>
      <c r="F15" s="11" t="s">
        <v>73</v>
      </c>
      <c r="G15" s="11">
        <v>91510</v>
      </c>
      <c r="H15" s="11">
        <v>1003</v>
      </c>
      <c r="J15" s="21">
        <v>1008</v>
      </c>
      <c r="K15" s="20">
        <v>1004</v>
      </c>
      <c r="L15" s="12">
        <v>37713</v>
      </c>
      <c r="M15" s="12">
        <v>37714</v>
      </c>
      <c r="N15" s="11" t="s">
        <v>86</v>
      </c>
      <c r="O15" s="11" t="s">
        <v>87</v>
      </c>
      <c r="P15" s="11" t="s">
        <v>88</v>
      </c>
      <c r="Q15" s="11"/>
    </row>
    <row r="16" spans="1:17" x14ac:dyDescent="0.2">
      <c r="A16" s="20">
        <v>1010</v>
      </c>
      <c r="B16" s="11" t="s">
        <v>118</v>
      </c>
      <c r="C16" s="11" t="s">
        <v>119</v>
      </c>
      <c r="D16" s="11" t="s">
        <v>74</v>
      </c>
      <c r="E16" s="11" t="s">
        <v>75</v>
      </c>
      <c r="F16" s="11" t="s">
        <v>76</v>
      </c>
      <c r="G16" s="11">
        <v>30314</v>
      </c>
      <c r="H16" s="11"/>
      <c r="J16" s="21">
        <v>1009</v>
      </c>
      <c r="K16" s="20">
        <v>1005</v>
      </c>
      <c r="L16" s="12">
        <v>37714</v>
      </c>
      <c r="M16" s="12">
        <v>37716</v>
      </c>
      <c r="N16" s="11" t="s">
        <v>120</v>
      </c>
      <c r="O16" s="11" t="s">
        <v>67</v>
      </c>
      <c r="P16" s="11" t="s">
        <v>68</v>
      </c>
      <c r="Q16" s="11"/>
    </row>
    <row r="17" spans="1:17" x14ac:dyDescent="0.2">
      <c r="A17" s="20">
        <v>1011</v>
      </c>
      <c r="B17" s="11" t="s">
        <v>121</v>
      </c>
      <c r="C17" s="11" t="s">
        <v>122</v>
      </c>
      <c r="D17" s="11" t="s">
        <v>123</v>
      </c>
      <c r="E17" s="11" t="s">
        <v>82</v>
      </c>
      <c r="F17" s="11" t="s">
        <v>83</v>
      </c>
      <c r="G17" s="11">
        <v>60606</v>
      </c>
      <c r="H17" s="11"/>
      <c r="J17" s="21">
        <v>1010</v>
      </c>
      <c r="K17" s="20">
        <v>1019</v>
      </c>
      <c r="L17" s="12">
        <v>37714</v>
      </c>
      <c r="M17" s="12">
        <v>37715</v>
      </c>
      <c r="N17" s="11" t="s">
        <v>124</v>
      </c>
      <c r="O17" s="11" t="s">
        <v>125</v>
      </c>
      <c r="P17" s="11" t="s">
        <v>95</v>
      </c>
      <c r="Q17" s="11"/>
    </row>
    <row r="18" spans="1:17" x14ac:dyDescent="0.2">
      <c r="A18" s="20">
        <v>1012</v>
      </c>
      <c r="B18" s="11" t="s">
        <v>126</v>
      </c>
      <c r="C18" s="11" t="s">
        <v>127</v>
      </c>
      <c r="D18" s="11" t="s">
        <v>128</v>
      </c>
      <c r="E18" s="11" t="s">
        <v>129</v>
      </c>
      <c r="F18" s="11" t="s">
        <v>130</v>
      </c>
      <c r="G18" s="11">
        <v>2110</v>
      </c>
      <c r="H18" s="11"/>
      <c r="J18" s="21">
        <v>1011</v>
      </c>
      <c r="K18" s="20">
        <v>1010</v>
      </c>
      <c r="L18" s="12">
        <v>37714</v>
      </c>
      <c r="M18" s="12">
        <v>37716</v>
      </c>
      <c r="N18" s="11" t="s">
        <v>131</v>
      </c>
      <c r="O18" s="11" t="s">
        <v>75</v>
      </c>
      <c r="P18" s="11" t="s">
        <v>76</v>
      </c>
      <c r="Q18" s="11"/>
    </row>
    <row r="19" spans="1:17" x14ac:dyDescent="0.2">
      <c r="A19" s="20">
        <v>1013</v>
      </c>
      <c r="B19" s="11" t="s">
        <v>132</v>
      </c>
      <c r="C19" s="11" t="s">
        <v>133</v>
      </c>
      <c r="D19" s="11" t="s">
        <v>134</v>
      </c>
      <c r="E19" s="11" t="s">
        <v>135</v>
      </c>
      <c r="F19" s="11" t="s">
        <v>65</v>
      </c>
      <c r="G19" s="11">
        <v>34711</v>
      </c>
      <c r="H19" s="11">
        <v>1006</v>
      </c>
      <c r="J19" s="21">
        <v>1012</v>
      </c>
      <c r="K19" s="20">
        <v>1017</v>
      </c>
      <c r="L19" s="12">
        <v>37714</v>
      </c>
      <c r="M19" s="11"/>
      <c r="N19" s="11" t="s">
        <v>136</v>
      </c>
      <c r="O19" s="11" t="s">
        <v>137</v>
      </c>
      <c r="P19" s="11" t="s">
        <v>138</v>
      </c>
      <c r="Q19" s="11"/>
    </row>
    <row r="20" spans="1:17" x14ac:dyDescent="0.2">
      <c r="A20" s="20">
        <v>1014</v>
      </c>
      <c r="B20" s="11" t="s">
        <v>139</v>
      </c>
      <c r="C20" s="11" t="s">
        <v>140</v>
      </c>
      <c r="D20" s="11" t="s">
        <v>141</v>
      </c>
      <c r="E20" s="11" t="s">
        <v>142</v>
      </c>
      <c r="F20" s="11" t="s">
        <v>113</v>
      </c>
      <c r="G20" s="11">
        <v>82414</v>
      </c>
      <c r="H20" s="11"/>
      <c r="J20" s="21">
        <v>1013</v>
      </c>
      <c r="K20" s="20">
        <v>1014</v>
      </c>
      <c r="L20" s="12">
        <v>37714</v>
      </c>
      <c r="M20" s="12">
        <v>37715</v>
      </c>
      <c r="N20" s="11" t="s">
        <v>143</v>
      </c>
      <c r="O20" s="11" t="s">
        <v>142</v>
      </c>
      <c r="P20" s="11" t="s">
        <v>113</v>
      </c>
      <c r="Q20" s="11"/>
    </row>
    <row r="21" spans="1:17" x14ac:dyDescent="0.2">
      <c r="A21" s="20">
        <v>1015</v>
      </c>
      <c r="B21" s="11" t="s">
        <v>144</v>
      </c>
      <c r="C21" s="11" t="s">
        <v>145</v>
      </c>
      <c r="D21" s="11" t="s">
        <v>146</v>
      </c>
      <c r="E21" s="11" t="s">
        <v>147</v>
      </c>
      <c r="F21" s="11" t="s">
        <v>65</v>
      </c>
      <c r="G21" s="11">
        <v>33111</v>
      </c>
      <c r="H21" s="11"/>
      <c r="J21" s="21">
        <v>1014</v>
      </c>
      <c r="K21" s="20">
        <v>1007</v>
      </c>
      <c r="L21" s="12">
        <v>37715</v>
      </c>
      <c r="M21" s="12">
        <v>37716</v>
      </c>
      <c r="N21" s="11" t="s">
        <v>105</v>
      </c>
      <c r="O21" s="11" t="s">
        <v>106</v>
      </c>
      <c r="P21" s="11" t="s">
        <v>107</v>
      </c>
      <c r="Q21" s="11"/>
    </row>
    <row r="22" spans="1:17" x14ac:dyDescent="0.2">
      <c r="A22" s="20">
        <v>1016</v>
      </c>
      <c r="B22" s="11" t="s">
        <v>148</v>
      </c>
      <c r="C22" s="11" t="s">
        <v>149</v>
      </c>
      <c r="D22" s="11" t="s">
        <v>150</v>
      </c>
      <c r="E22" s="11" t="s">
        <v>117</v>
      </c>
      <c r="F22" s="11" t="s">
        <v>73</v>
      </c>
      <c r="G22" s="11">
        <v>91508</v>
      </c>
      <c r="H22" s="11">
        <v>1010</v>
      </c>
      <c r="J22" s="21">
        <v>1015</v>
      </c>
      <c r="K22" s="20">
        <v>1020</v>
      </c>
      <c r="L22" s="12">
        <v>37715</v>
      </c>
      <c r="M22" s="11"/>
      <c r="N22" s="11" t="s">
        <v>151</v>
      </c>
      <c r="O22" s="11" t="s">
        <v>94</v>
      </c>
      <c r="P22" s="11" t="s">
        <v>95</v>
      </c>
      <c r="Q22" s="11"/>
    </row>
    <row r="23" spans="1:17" x14ac:dyDescent="0.2">
      <c r="A23" s="20">
        <v>1017</v>
      </c>
      <c r="B23" s="11" t="s">
        <v>152</v>
      </c>
      <c r="C23" s="11" t="s">
        <v>153</v>
      </c>
      <c r="D23" s="11" t="s">
        <v>154</v>
      </c>
      <c r="E23" s="11" t="s">
        <v>137</v>
      </c>
      <c r="F23" s="11" t="s">
        <v>138</v>
      </c>
      <c r="G23" s="11">
        <v>49006</v>
      </c>
      <c r="H23" s="11"/>
      <c r="J23" s="21">
        <v>1016</v>
      </c>
      <c r="K23" s="20">
        <v>1003</v>
      </c>
      <c r="L23" s="12">
        <v>37715</v>
      </c>
      <c r="M23" s="11"/>
      <c r="N23" s="11" t="s">
        <v>155</v>
      </c>
      <c r="O23" s="11" t="s">
        <v>80</v>
      </c>
      <c r="P23" s="11" t="s">
        <v>65</v>
      </c>
      <c r="Q23" s="11"/>
    </row>
    <row r="24" spans="1:17" x14ac:dyDescent="0.2">
      <c r="A24" s="20">
        <v>1018</v>
      </c>
      <c r="B24" s="11" t="s">
        <v>156</v>
      </c>
      <c r="C24" s="11" t="s">
        <v>157</v>
      </c>
      <c r="D24" s="11" t="s">
        <v>101</v>
      </c>
      <c r="E24" s="11" t="s">
        <v>102</v>
      </c>
      <c r="F24" s="11" t="s">
        <v>76</v>
      </c>
      <c r="G24" s="11">
        <v>31206</v>
      </c>
      <c r="H24" s="11"/>
      <c r="J24" s="21">
        <v>1017</v>
      </c>
      <c r="K24" s="20">
        <v>1015</v>
      </c>
      <c r="L24" s="12">
        <v>37715</v>
      </c>
      <c r="M24" s="12">
        <v>37716</v>
      </c>
      <c r="N24" s="11" t="s">
        <v>158</v>
      </c>
      <c r="O24" s="11" t="s">
        <v>147</v>
      </c>
      <c r="P24" s="11" t="s">
        <v>65</v>
      </c>
      <c r="Q24" s="11"/>
    </row>
    <row r="25" spans="1:17" x14ac:dyDescent="0.2">
      <c r="A25" s="20">
        <v>1019</v>
      </c>
      <c r="B25" s="11" t="s">
        <v>77</v>
      </c>
      <c r="C25" s="11" t="s">
        <v>159</v>
      </c>
      <c r="D25" s="11" t="s">
        <v>160</v>
      </c>
      <c r="E25" s="11" t="s">
        <v>125</v>
      </c>
      <c r="F25" s="11" t="s">
        <v>95</v>
      </c>
      <c r="G25" s="11">
        <v>7962</v>
      </c>
      <c r="H25" s="11">
        <v>1003</v>
      </c>
      <c r="J25" s="21">
        <v>1018</v>
      </c>
      <c r="K25" s="20">
        <v>1001</v>
      </c>
      <c r="L25" s="12">
        <v>37716</v>
      </c>
      <c r="M25" s="11"/>
      <c r="N25" s="11" t="s">
        <v>161</v>
      </c>
      <c r="O25" s="11" t="s">
        <v>64</v>
      </c>
      <c r="P25" s="11" t="s">
        <v>65</v>
      </c>
      <c r="Q25" s="11"/>
    </row>
    <row r="26" spans="1:17" x14ac:dyDescent="0.2">
      <c r="A26" s="20">
        <v>1020</v>
      </c>
      <c r="B26" s="11" t="s">
        <v>162</v>
      </c>
      <c r="C26" s="11" t="s">
        <v>110</v>
      </c>
      <c r="D26" s="11" t="s">
        <v>163</v>
      </c>
      <c r="E26" s="11" t="s">
        <v>94</v>
      </c>
      <c r="F26" s="11" t="s">
        <v>95</v>
      </c>
      <c r="G26" s="11">
        <v>8607</v>
      </c>
      <c r="H26" s="11"/>
      <c r="J26" s="21">
        <v>1019</v>
      </c>
      <c r="K26" s="20">
        <v>1018</v>
      </c>
      <c r="L26" s="12">
        <v>37716</v>
      </c>
      <c r="M26" s="11"/>
      <c r="N26" s="11" t="s">
        <v>101</v>
      </c>
      <c r="O26" s="11" t="s">
        <v>102</v>
      </c>
      <c r="P26" s="11" t="s">
        <v>76</v>
      </c>
      <c r="Q26" s="11"/>
    </row>
    <row r="27" spans="1:17" x14ac:dyDescent="0.2">
      <c r="A27" s="20">
        <v>1021</v>
      </c>
      <c r="B27" s="11" t="s">
        <v>164</v>
      </c>
      <c r="C27" s="11" t="s">
        <v>165</v>
      </c>
      <c r="D27" s="11" t="s">
        <v>166</v>
      </c>
      <c r="E27" s="11" t="s">
        <v>167</v>
      </c>
      <c r="F27" s="11" t="s">
        <v>168</v>
      </c>
      <c r="G27" s="11">
        <v>54343</v>
      </c>
      <c r="H27" s="11">
        <v>1018</v>
      </c>
      <c r="J27" s="21">
        <v>1020</v>
      </c>
      <c r="K27" s="20">
        <v>1008</v>
      </c>
      <c r="L27" s="12">
        <v>37716</v>
      </c>
      <c r="M27" s="11"/>
      <c r="N27" s="11" t="s">
        <v>169</v>
      </c>
      <c r="O27" s="11" t="s">
        <v>112</v>
      </c>
      <c r="P27" s="11" t="s">
        <v>113</v>
      </c>
      <c r="Q27" s="11"/>
    </row>
    <row r="28" spans="1:17" x14ac:dyDescent="0.2">
      <c r="A28" s="20">
        <v>1022</v>
      </c>
      <c r="B28" s="11" t="s">
        <v>170</v>
      </c>
      <c r="C28" s="11" t="s">
        <v>70</v>
      </c>
      <c r="D28" s="11" t="s">
        <v>171</v>
      </c>
      <c r="E28" s="11" t="s">
        <v>72</v>
      </c>
      <c r="F28" s="11" t="s">
        <v>73</v>
      </c>
      <c r="G28" s="11">
        <v>90504</v>
      </c>
      <c r="H28" s="11"/>
      <c r="J28" s="21">
        <v>9151</v>
      </c>
      <c r="K28" s="20">
        <v>5005</v>
      </c>
      <c r="L28" s="12">
        <v>37711</v>
      </c>
      <c r="M28" s="12">
        <v>37713</v>
      </c>
      <c r="N28" s="11" t="s">
        <v>172</v>
      </c>
      <c r="O28" s="11" t="s">
        <v>173</v>
      </c>
      <c r="P28" s="11" t="s">
        <v>68</v>
      </c>
      <c r="Q28" s="11"/>
    </row>
    <row r="29" spans="1:17" x14ac:dyDescent="0.2">
      <c r="A29" s="20">
        <v>1023</v>
      </c>
      <c r="B29" s="11" t="s">
        <v>174</v>
      </c>
      <c r="C29" s="11" t="s">
        <v>175</v>
      </c>
      <c r="D29" s="11" t="s">
        <v>176</v>
      </c>
      <c r="E29" s="11" t="s">
        <v>177</v>
      </c>
      <c r="F29" s="11" t="s">
        <v>107</v>
      </c>
      <c r="G29" s="11">
        <v>32306</v>
      </c>
      <c r="H29" s="11"/>
      <c r="J29" s="21">
        <v>9152</v>
      </c>
      <c r="K29" s="20">
        <v>5010</v>
      </c>
      <c r="L29" s="12">
        <v>37711</v>
      </c>
      <c r="M29" s="12">
        <v>37712</v>
      </c>
      <c r="N29" s="11" t="s">
        <v>178</v>
      </c>
      <c r="O29" s="11" t="s">
        <v>179</v>
      </c>
      <c r="P29" s="11" t="s">
        <v>76</v>
      </c>
      <c r="Q29" s="11"/>
    </row>
    <row r="33" spans="2:14" x14ac:dyDescent="0.2">
      <c r="B33" s="262" t="s">
        <v>180</v>
      </c>
      <c r="C33" s="262"/>
      <c r="D33" s="262"/>
      <c r="E33" s="262"/>
      <c r="H33" s="261" t="s">
        <v>181</v>
      </c>
      <c r="I33" s="261"/>
      <c r="J33" s="261"/>
      <c r="K33" s="261"/>
      <c r="L33" s="261"/>
      <c r="M33" s="261"/>
      <c r="N33" s="261"/>
    </row>
    <row r="34" spans="2:14" x14ac:dyDescent="0.2">
      <c r="B34" s="9" t="s">
        <v>54</v>
      </c>
      <c r="C34" s="9" t="s">
        <v>182</v>
      </c>
      <c r="D34" s="9" t="s">
        <v>183</v>
      </c>
      <c r="E34" s="9" t="s">
        <v>184</v>
      </c>
      <c r="H34" s="9" t="s">
        <v>183</v>
      </c>
      <c r="I34" s="9" t="s">
        <v>185</v>
      </c>
      <c r="J34" s="9" t="s">
        <v>186</v>
      </c>
      <c r="K34" s="9" t="s">
        <v>187</v>
      </c>
      <c r="L34" s="9" t="s">
        <v>188</v>
      </c>
      <c r="M34" s="9" t="s">
        <v>189</v>
      </c>
      <c r="N34" s="9" t="s">
        <v>190</v>
      </c>
    </row>
    <row r="35" spans="2:14" x14ac:dyDescent="0.2">
      <c r="B35" s="23">
        <v>1000</v>
      </c>
      <c r="C35" s="9">
        <v>1</v>
      </c>
      <c r="D35" s="22">
        <v>3437212490</v>
      </c>
      <c r="E35" s="9">
        <v>1</v>
      </c>
      <c r="H35" s="22">
        <v>1059831198</v>
      </c>
      <c r="I35" s="9" t="s">
        <v>191</v>
      </c>
      <c r="J35" s="13">
        <v>36912</v>
      </c>
      <c r="K35" s="9">
        <v>4</v>
      </c>
      <c r="L35" s="9">
        <v>18.75</v>
      </c>
      <c r="M35" s="9">
        <v>30.95</v>
      </c>
      <c r="N35" s="9" t="s">
        <v>192</v>
      </c>
    </row>
    <row r="36" spans="2:14" x14ac:dyDescent="0.2">
      <c r="B36" s="23">
        <v>1001</v>
      </c>
      <c r="C36" s="9">
        <v>1</v>
      </c>
      <c r="D36" s="22">
        <v>9247381001</v>
      </c>
      <c r="E36" s="9">
        <v>1</v>
      </c>
      <c r="H36" s="22">
        <v>401140733</v>
      </c>
      <c r="I36" s="9" t="s">
        <v>193</v>
      </c>
      <c r="J36" s="13">
        <v>37239</v>
      </c>
      <c r="K36" s="9">
        <v>1</v>
      </c>
      <c r="L36" s="9">
        <v>14.2</v>
      </c>
      <c r="M36" s="9">
        <v>22</v>
      </c>
      <c r="N36" s="9" t="s">
        <v>194</v>
      </c>
    </row>
    <row r="37" spans="2:14" x14ac:dyDescent="0.2">
      <c r="B37" s="23">
        <v>1001</v>
      </c>
      <c r="C37" s="9">
        <v>2</v>
      </c>
      <c r="D37" s="22">
        <v>2491748320</v>
      </c>
      <c r="E37" s="9">
        <v>1</v>
      </c>
      <c r="H37" s="22">
        <v>4981341710</v>
      </c>
      <c r="I37" s="9" t="s">
        <v>195</v>
      </c>
      <c r="J37" s="13">
        <v>37333</v>
      </c>
      <c r="K37" s="9">
        <v>2</v>
      </c>
      <c r="L37" s="9">
        <v>37.799999999999997</v>
      </c>
      <c r="M37" s="9">
        <v>59.95</v>
      </c>
      <c r="N37" s="9" t="s">
        <v>196</v>
      </c>
    </row>
    <row r="38" spans="2:14" x14ac:dyDescent="0.2">
      <c r="B38" s="23">
        <v>1002</v>
      </c>
      <c r="C38" s="9">
        <v>1</v>
      </c>
      <c r="D38" s="22">
        <v>8843172113</v>
      </c>
      <c r="E38" s="9">
        <v>2</v>
      </c>
      <c r="H38" s="22">
        <v>8843172113</v>
      </c>
      <c r="I38" s="9" t="s">
        <v>197</v>
      </c>
      <c r="J38" s="13">
        <v>36315</v>
      </c>
      <c r="K38" s="9">
        <v>3</v>
      </c>
      <c r="L38" s="9">
        <v>31.4</v>
      </c>
      <c r="M38" s="9">
        <v>55.95</v>
      </c>
      <c r="N38" s="9" t="s">
        <v>198</v>
      </c>
    </row>
    <row r="39" spans="2:14" x14ac:dyDescent="0.2">
      <c r="B39" s="23">
        <v>1003</v>
      </c>
      <c r="C39" s="9">
        <v>1</v>
      </c>
      <c r="D39" s="22">
        <v>8843172113</v>
      </c>
      <c r="E39" s="9">
        <v>1</v>
      </c>
      <c r="H39" s="22">
        <v>3437212490</v>
      </c>
      <c r="I39" s="9" t="s">
        <v>199</v>
      </c>
      <c r="J39" s="13">
        <v>36584</v>
      </c>
      <c r="K39" s="9">
        <v>4</v>
      </c>
      <c r="L39" s="9">
        <v>12.5</v>
      </c>
      <c r="M39" s="9">
        <v>19.95</v>
      </c>
      <c r="N39" s="9" t="s">
        <v>200</v>
      </c>
    </row>
    <row r="40" spans="2:14" x14ac:dyDescent="0.2">
      <c r="B40" s="23">
        <v>1003</v>
      </c>
      <c r="C40" s="9">
        <v>2</v>
      </c>
      <c r="D40" s="22">
        <v>1059831198</v>
      </c>
      <c r="E40" s="9">
        <v>1</v>
      </c>
      <c r="H40" s="22">
        <v>3957136468</v>
      </c>
      <c r="I40" s="9" t="s">
        <v>201</v>
      </c>
      <c r="J40" s="13">
        <v>37256</v>
      </c>
      <c r="K40" s="9">
        <v>3</v>
      </c>
      <c r="L40" s="9">
        <v>47.25</v>
      </c>
      <c r="M40" s="9">
        <v>75.95</v>
      </c>
      <c r="N40" s="9" t="s">
        <v>198</v>
      </c>
    </row>
    <row r="41" spans="2:14" x14ac:dyDescent="0.2">
      <c r="B41" s="23">
        <v>1003</v>
      </c>
      <c r="C41" s="9">
        <v>3</v>
      </c>
      <c r="D41" s="22">
        <v>3437212490</v>
      </c>
      <c r="E41" s="9">
        <v>1</v>
      </c>
      <c r="H41" s="22">
        <v>1915762492</v>
      </c>
      <c r="I41" s="9" t="s">
        <v>202</v>
      </c>
      <c r="J41" s="13">
        <v>36912</v>
      </c>
      <c r="K41" s="9">
        <v>3</v>
      </c>
      <c r="L41" s="9">
        <v>21.8</v>
      </c>
      <c r="M41" s="9">
        <v>25</v>
      </c>
      <c r="N41" s="9" t="s">
        <v>198</v>
      </c>
    </row>
    <row r="42" spans="2:14" x14ac:dyDescent="0.2">
      <c r="B42" s="23">
        <v>1004</v>
      </c>
      <c r="C42" s="9">
        <v>1</v>
      </c>
      <c r="D42" s="22">
        <v>2491748320</v>
      </c>
      <c r="E42" s="9">
        <v>2</v>
      </c>
      <c r="H42" s="22">
        <v>9959789321</v>
      </c>
      <c r="I42" s="9" t="s">
        <v>203</v>
      </c>
      <c r="J42" s="13">
        <v>37316</v>
      </c>
      <c r="K42" s="9">
        <v>2</v>
      </c>
      <c r="L42" s="9">
        <v>37.9</v>
      </c>
      <c r="M42" s="9">
        <v>54.5</v>
      </c>
      <c r="N42" s="9" t="s">
        <v>198</v>
      </c>
    </row>
    <row r="43" spans="2:14" x14ac:dyDescent="0.2">
      <c r="B43" s="23">
        <v>1005</v>
      </c>
      <c r="C43" s="9">
        <v>1</v>
      </c>
      <c r="D43" s="22">
        <v>2147428890</v>
      </c>
      <c r="E43" s="9">
        <v>1</v>
      </c>
      <c r="H43" s="22">
        <v>2491748320</v>
      </c>
      <c r="I43" s="9" t="s">
        <v>204</v>
      </c>
      <c r="J43" s="13">
        <v>36724</v>
      </c>
      <c r="K43" s="9">
        <v>5</v>
      </c>
      <c r="L43" s="9">
        <v>48</v>
      </c>
      <c r="M43" s="9">
        <v>89.95</v>
      </c>
      <c r="N43" s="9" t="s">
        <v>194</v>
      </c>
    </row>
    <row r="44" spans="2:14" x14ac:dyDescent="0.2">
      <c r="B44" s="23">
        <v>1006</v>
      </c>
      <c r="C44" s="9">
        <v>1</v>
      </c>
      <c r="D44" s="22">
        <v>9959789321</v>
      </c>
      <c r="E44" s="9">
        <v>1</v>
      </c>
      <c r="H44" s="22">
        <v>299282519</v>
      </c>
      <c r="I44" s="9" t="s">
        <v>205</v>
      </c>
      <c r="J44" s="13">
        <v>36780</v>
      </c>
      <c r="K44" s="9">
        <v>4</v>
      </c>
      <c r="L44" s="9">
        <v>19</v>
      </c>
      <c r="M44" s="9">
        <v>28.75</v>
      </c>
      <c r="N44" s="9" t="s">
        <v>200</v>
      </c>
    </row>
    <row r="45" spans="2:14" x14ac:dyDescent="0.2">
      <c r="B45" s="23">
        <v>1007</v>
      </c>
      <c r="C45" s="9">
        <v>1</v>
      </c>
      <c r="D45" s="22">
        <v>3957136468</v>
      </c>
      <c r="E45" s="9">
        <v>3</v>
      </c>
      <c r="H45" s="22">
        <v>8117949391</v>
      </c>
      <c r="I45" s="9" t="s">
        <v>206</v>
      </c>
      <c r="J45" s="13">
        <v>37203</v>
      </c>
      <c r="K45" s="9">
        <v>5</v>
      </c>
      <c r="L45" s="9">
        <v>5.32</v>
      </c>
      <c r="M45" s="9">
        <v>8.9499999999999993</v>
      </c>
      <c r="N45" s="9" t="s">
        <v>196</v>
      </c>
    </row>
    <row r="46" spans="2:14" x14ac:dyDescent="0.2">
      <c r="B46" s="23">
        <v>1007</v>
      </c>
      <c r="C46" s="9">
        <v>2</v>
      </c>
      <c r="D46" s="22">
        <v>9959789321</v>
      </c>
      <c r="E46" s="9">
        <v>1</v>
      </c>
      <c r="H46" s="22">
        <v>132149871</v>
      </c>
      <c r="I46" s="9" t="s">
        <v>207</v>
      </c>
      <c r="J46" s="13">
        <v>37571</v>
      </c>
      <c r="K46" s="9">
        <v>4</v>
      </c>
      <c r="L46" s="9">
        <v>17.850000000000001</v>
      </c>
      <c r="M46" s="9">
        <v>29.95</v>
      </c>
      <c r="N46" s="9" t="s">
        <v>208</v>
      </c>
    </row>
    <row r="47" spans="2:14" x14ac:dyDescent="0.2">
      <c r="B47" s="23">
        <v>1007</v>
      </c>
      <c r="C47" s="9">
        <v>3</v>
      </c>
      <c r="D47" s="22">
        <v>8117949391</v>
      </c>
      <c r="E47" s="9">
        <v>1</v>
      </c>
      <c r="H47" s="22">
        <v>9247381001</v>
      </c>
      <c r="I47" s="9" t="s">
        <v>209</v>
      </c>
      <c r="J47" s="13">
        <v>36289</v>
      </c>
      <c r="K47" s="9">
        <v>1</v>
      </c>
      <c r="L47" s="9">
        <v>15.4</v>
      </c>
      <c r="M47" s="9">
        <v>31.95</v>
      </c>
      <c r="N47" s="9" t="s">
        <v>210</v>
      </c>
    </row>
    <row r="48" spans="2:14" x14ac:dyDescent="0.2">
      <c r="B48" s="23">
        <v>1007</v>
      </c>
      <c r="C48" s="9">
        <v>4</v>
      </c>
      <c r="D48" s="22">
        <v>8843172113</v>
      </c>
      <c r="E48" s="9">
        <v>1</v>
      </c>
      <c r="H48" s="22">
        <v>2147428890</v>
      </c>
      <c r="I48" s="9" t="s">
        <v>211</v>
      </c>
      <c r="J48" s="13">
        <v>37012</v>
      </c>
      <c r="K48" s="9">
        <v>5</v>
      </c>
      <c r="L48" s="9">
        <v>21.85</v>
      </c>
      <c r="M48" s="9">
        <v>39.950000000000003</v>
      </c>
      <c r="N48" s="9" t="s">
        <v>212</v>
      </c>
    </row>
    <row r="49" spans="2:14" x14ac:dyDescent="0.2">
      <c r="B49" s="23">
        <v>1008</v>
      </c>
      <c r="C49" s="9">
        <v>1</v>
      </c>
      <c r="D49" s="22">
        <v>3437212490</v>
      </c>
      <c r="E49" s="9">
        <v>2</v>
      </c>
      <c r="H49" s="22">
        <v>9999999999</v>
      </c>
      <c r="I49" s="9" t="s">
        <v>213</v>
      </c>
      <c r="J49" s="13">
        <v>36912</v>
      </c>
      <c r="K49" s="9">
        <v>4</v>
      </c>
      <c r="L49" s="9">
        <v>18.75</v>
      </c>
      <c r="M49" s="9">
        <v>30.95</v>
      </c>
      <c r="N49" s="9" t="s">
        <v>214</v>
      </c>
    </row>
    <row r="50" spans="2:14" x14ac:dyDescent="0.2">
      <c r="B50" s="23">
        <v>1009</v>
      </c>
      <c r="C50" s="9">
        <v>1</v>
      </c>
      <c r="D50" s="22">
        <v>3437212490</v>
      </c>
      <c r="E50" s="9">
        <v>1</v>
      </c>
    </row>
    <row r="51" spans="2:14" x14ac:dyDescent="0.2">
      <c r="B51" s="23">
        <v>1009</v>
      </c>
      <c r="C51" s="9">
        <v>2</v>
      </c>
      <c r="D51" s="22">
        <v>401140733</v>
      </c>
      <c r="E51" s="9">
        <v>1</v>
      </c>
    </row>
    <row r="52" spans="2:14" x14ac:dyDescent="0.2">
      <c r="B52" s="23">
        <v>1010</v>
      </c>
      <c r="C52" s="9">
        <v>1</v>
      </c>
      <c r="D52" s="22">
        <v>8843172113</v>
      </c>
      <c r="E52" s="9">
        <v>1</v>
      </c>
    </row>
    <row r="53" spans="2:14" x14ac:dyDescent="0.2">
      <c r="B53" s="23">
        <v>1011</v>
      </c>
      <c r="C53" s="9">
        <v>1</v>
      </c>
      <c r="D53" s="22">
        <v>2491748320</v>
      </c>
      <c r="E53" s="9">
        <v>1</v>
      </c>
    </row>
    <row r="54" spans="2:14" x14ac:dyDescent="0.2">
      <c r="B54" s="23">
        <v>1012</v>
      </c>
      <c r="C54" s="9">
        <v>1</v>
      </c>
      <c r="D54" s="22">
        <v>8117949391</v>
      </c>
      <c r="E54" s="9">
        <v>1</v>
      </c>
    </row>
    <row r="55" spans="2:14" x14ac:dyDescent="0.2">
      <c r="B55" s="23">
        <v>1012</v>
      </c>
      <c r="C55" s="9">
        <v>2</v>
      </c>
      <c r="D55" s="22">
        <v>1915762492</v>
      </c>
      <c r="E55" s="9">
        <v>2</v>
      </c>
    </row>
    <row r="56" spans="2:14" x14ac:dyDescent="0.2">
      <c r="B56" s="23">
        <v>1012</v>
      </c>
      <c r="C56" s="9">
        <v>3</v>
      </c>
      <c r="D56" s="22">
        <v>2491748320</v>
      </c>
      <c r="E56" s="9">
        <v>1</v>
      </c>
    </row>
    <row r="57" spans="2:14" x14ac:dyDescent="0.2">
      <c r="B57" s="23">
        <v>1012</v>
      </c>
      <c r="C57" s="9">
        <v>4</v>
      </c>
      <c r="D57" s="22">
        <v>401140733</v>
      </c>
      <c r="E57" s="9">
        <v>1</v>
      </c>
    </row>
    <row r="58" spans="2:14" x14ac:dyDescent="0.2">
      <c r="B58" s="23">
        <v>1013</v>
      </c>
      <c r="C58" s="9">
        <v>1</v>
      </c>
      <c r="D58" s="22">
        <v>8843172113</v>
      </c>
      <c r="E58" s="9">
        <v>1</v>
      </c>
    </row>
    <row r="59" spans="2:14" x14ac:dyDescent="0.2">
      <c r="B59" s="23">
        <v>1014</v>
      </c>
      <c r="C59" s="9">
        <v>1</v>
      </c>
      <c r="D59" s="22">
        <v>401140733</v>
      </c>
      <c r="E59" s="9">
        <v>2</v>
      </c>
    </row>
    <row r="60" spans="2:14" x14ac:dyDescent="0.2">
      <c r="B60" s="23">
        <v>1015</v>
      </c>
      <c r="C60" s="9">
        <v>1</v>
      </c>
      <c r="D60" s="22">
        <v>3437212490</v>
      </c>
      <c r="E60" s="9">
        <v>1</v>
      </c>
    </row>
    <row r="61" spans="2:14" x14ac:dyDescent="0.2">
      <c r="B61" s="23">
        <v>1016</v>
      </c>
      <c r="C61" s="9">
        <v>1</v>
      </c>
      <c r="D61" s="22">
        <v>2491748320</v>
      </c>
      <c r="E61" s="9">
        <v>1</v>
      </c>
    </row>
    <row r="62" spans="2:14" x14ac:dyDescent="0.2">
      <c r="B62" s="23">
        <v>1017</v>
      </c>
      <c r="C62" s="9">
        <v>1</v>
      </c>
      <c r="D62" s="22">
        <v>8117949391</v>
      </c>
      <c r="E62" s="9">
        <v>2</v>
      </c>
    </row>
    <row r="63" spans="2:14" x14ac:dyDescent="0.2">
      <c r="B63" s="23">
        <v>1018</v>
      </c>
      <c r="C63" s="9">
        <v>1</v>
      </c>
      <c r="D63" s="22">
        <v>3437212490</v>
      </c>
      <c r="E63" s="9">
        <v>1</v>
      </c>
    </row>
    <row r="64" spans="2:14" x14ac:dyDescent="0.2">
      <c r="B64" s="23">
        <v>1018</v>
      </c>
      <c r="C64" s="9">
        <v>2</v>
      </c>
      <c r="D64" s="22">
        <v>8843172113</v>
      </c>
      <c r="E64" s="9">
        <v>1</v>
      </c>
    </row>
    <row r="65" spans="2:5" x14ac:dyDescent="0.2">
      <c r="B65" s="23">
        <v>1019</v>
      </c>
      <c r="C65" s="9">
        <v>1</v>
      </c>
      <c r="D65" s="22">
        <v>401140733</v>
      </c>
      <c r="E65" s="9">
        <v>1</v>
      </c>
    </row>
    <row r="66" spans="2:5" x14ac:dyDescent="0.2">
      <c r="B66" s="23">
        <v>1020</v>
      </c>
      <c r="C66" s="9">
        <v>1</v>
      </c>
      <c r="D66" s="22">
        <v>3437212490</v>
      </c>
      <c r="E66" s="9">
        <v>1</v>
      </c>
    </row>
  </sheetData>
  <mergeCells count="5">
    <mergeCell ref="A5:H5"/>
    <mergeCell ref="J5:Q5"/>
    <mergeCell ref="B33:E33"/>
    <mergeCell ref="H33:N33"/>
    <mergeCell ref="B2:N2"/>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AG742"/>
  <sheetViews>
    <sheetView zoomScale="115" zoomScaleNormal="115" zoomScaleSheetLayoutView="100" workbookViewId="0">
      <selection activeCell="B35" sqref="B35"/>
    </sheetView>
  </sheetViews>
  <sheetFormatPr defaultColWidth="19.85546875" defaultRowHeight="15" x14ac:dyDescent="0.25"/>
  <cols>
    <col min="1" max="1" width="19.28515625" style="39" bestFit="1" customWidth="1"/>
    <col min="2" max="2" width="8.28515625" style="54" bestFit="1" customWidth="1"/>
    <col min="3" max="3" width="26.85546875" style="39" bestFit="1" customWidth="1"/>
    <col min="4" max="4" width="13" style="79" customWidth="1"/>
    <col min="5" max="5" width="14.85546875" style="80" bestFit="1" customWidth="1"/>
    <col min="6" max="6" width="9.7109375" style="39" bestFit="1" customWidth="1"/>
    <col min="7" max="7" width="13.28515625" style="81" customWidth="1"/>
    <col min="8" max="8" width="7.140625" style="82" bestFit="1" customWidth="1"/>
    <col min="9" max="9" width="5.85546875" style="83" bestFit="1" customWidth="1"/>
    <col min="10" max="10" width="8.42578125" style="39" bestFit="1" customWidth="1"/>
    <col min="11" max="11" width="9.42578125" style="70" customWidth="1"/>
    <col min="12" max="12" width="10" style="39" bestFit="1" customWidth="1"/>
    <col min="13" max="13" width="12.28515625" style="84" bestFit="1" customWidth="1"/>
    <col min="14" max="14" width="8.42578125" style="56" bestFit="1" customWidth="1"/>
    <col min="15" max="15" width="7.5703125" style="39" customWidth="1"/>
    <col min="16" max="16" width="7.28515625" style="39" customWidth="1"/>
    <col min="17" max="17" width="9.85546875" style="39" customWidth="1"/>
    <col min="18" max="18" width="8.85546875" style="39" bestFit="1" customWidth="1"/>
    <col min="19" max="19" width="4.5703125" style="39" bestFit="1" customWidth="1"/>
    <col min="20" max="20" width="9.28515625" style="39" customWidth="1"/>
    <col min="21" max="21" width="5.5703125" style="39" bestFit="1" customWidth="1"/>
    <col min="22" max="26" width="4.42578125" style="39" bestFit="1" customWidth="1"/>
    <col min="27" max="27" width="5.42578125" style="39" customWidth="1"/>
    <col min="28" max="28" width="6" style="39" bestFit="1" customWidth="1"/>
    <col min="29" max="33" width="4.42578125" style="39" bestFit="1" customWidth="1"/>
    <col min="34" max="34" width="4.140625" style="39" bestFit="1" customWidth="1"/>
    <col min="35" max="16384" width="19.85546875" style="39"/>
  </cols>
  <sheetData>
    <row r="1" spans="1:33" x14ac:dyDescent="0.25">
      <c r="A1" s="26" t="s">
        <v>229</v>
      </c>
      <c r="B1" s="27" t="s">
        <v>230</v>
      </c>
      <c r="C1" s="28" t="s">
        <v>231</v>
      </c>
      <c r="D1" s="29" t="s">
        <v>232</v>
      </c>
      <c r="E1" s="30" t="s">
        <v>233</v>
      </c>
      <c r="F1" s="28" t="s">
        <v>234</v>
      </c>
      <c r="G1" s="31" t="s">
        <v>235</v>
      </c>
      <c r="H1" s="32" t="s">
        <v>236</v>
      </c>
      <c r="I1" s="33" t="s">
        <v>237</v>
      </c>
      <c r="J1" s="28" t="s">
        <v>238</v>
      </c>
      <c r="K1" s="34" t="s">
        <v>239</v>
      </c>
      <c r="L1" s="27" t="s">
        <v>240</v>
      </c>
      <c r="M1" s="35" t="s">
        <v>241</v>
      </c>
      <c r="N1" s="36" t="s">
        <v>242</v>
      </c>
      <c r="O1" s="37">
        <v>2.9100000000000001E-2</v>
      </c>
      <c r="P1" s="37"/>
      <c r="Q1" s="37"/>
      <c r="R1" s="38" t="s">
        <v>243</v>
      </c>
      <c r="S1" s="38"/>
      <c r="U1" s="40"/>
      <c r="V1" s="41" t="s">
        <v>73</v>
      </c>
      <c r="W1" s="41" t="s">
        <v>107</v>
      </c>
      <c r="X1" s="41" t="s">
        <v>100</v>
      </c>
      <c r="Y1" s="41" t="s">
        <v>65</v>
      </c>
      <c r="Z1" s="41" t="s">
        <v>83</v>
      </c>
      <c r="AA1" s="42"/>
      <c r="AB1" s="43"/>
      <c r="AC1" s="44" t="s">
        <v>73</v>
      </c>
      <c r="AD1" s="44" t="s">
        <v>107</v>
      </c>
      <c r="AE1" s="44" t="s">
        <v>100</v>
      </c>
      <c r="AF1" s="44" t="s">
        <v>65</v>
      </c>
      <c r="AG1" s="44" t="s">
        <v>83</v>
      </c>
    </row>
    <row r="2" spans="1:33" x14ac:dyDescent="0.25">
      <c r="A2" s="45" t="s">
        <v>244</v>
      </c>
      <c r="B2" s="46" t="s">
        <v>245</v>
      </c>
      <c r="C2" s="45" t="s">
        <v>246</v>
      </c>
      <c r="D2" s="47">
        <v>948195711</v>
      </c>
      <c r="E2" s="48">
        <v>2523539786</v>
      </c>
      <c r="F2" s="45" t="s">
        <v>247</v>
      </c>
      <c r="G2" s="49">
        <v>40148</v>
      </c>
      <c r="H2" s="50" t="str">
        <f t="shared" ref="H2:H65" si="0">CHOOSE(MONTH(G2),"Jan","Feb","Mar","Apr","May","Jun","Jul","Aug","Sep","Oct","Nov","Dec")</f>
        <v>Dec</v>
      </c>
      <c r="I2" s="51">
        <f t="shared" ref="I2:I65" ca="1" si="1">DATEDIF(G2,TODAY(),"Y")</f>
        <v>6</v>
      </c>
      <c r="J2" s="52"/>
      <c r="K2" s="53">
        <v>51050</v>
      </c>
      <c r="L2" s="54">
        <v>5</v>
      </c>
      <c r="M2" s="55"/>
      <c r="R2" s="57">
        <v>0</v>
      </c>
      <c r="S2" s="58">
        <v>0</v>
      </c>
      <c r="U2" s="40" t="s">
        <v>248</v>
      </c>
      <c r="V2" s="59">
        <v>33</v>
      </c>
      <c r="W2" s="59">
        <v>40</v>
      </c>
      <c r="X2" s="59">
        <v>37</v>
      </c>
      <c r="Y2" s="59">
        <v>48</v>
      </c>
      <c r="Z2" s="59">
        <v>48</v>
      </c>
      <c r="AA2" s="59"/>
      <c r="AB2" s="60" t="s">
        <v>249</v>
      </c>
      <c r="AC2" s="59">
        <v>45</v>
      </c>
      <c r="AD2" s="59">
        <v>47</v>
      </c>
      <c r="AE2" s="59">
        <v>35</v>
      </c>
      <c r="AF2" s="59">
        <v>49</v>
      </c>
      <c r="AG2" s="59">
        <v>37</v>
      </c>
    </row>
    <row r="3" spans="1:33" x14ac:dyDescent="0.25">
      <c r="A3" s="45" t="s">
        <v>250</v>
      </c>
      <c r="B3" s="46" t="s">
        <v>251</v>
      </c>
      <c r="C3" s="45" t="s">
        <v>246</v>
      </c>
      <c r="D3" s="47">
        <v>411526157</v>
      </c>
      <c r="E3" s="48">
        <v>9195818082</v>
      </c>
      <c r="F3" s="45" t="s">
        <v>252</v>
      </c>
      <c r="G3" s="49">
        <v>34847</v>
      </c>
      <c r="H3" s="50" t="str">
        <f t="shared" si="0"/>
        <v>May</v>
      </c>
      <c r="I3" s="51">
        <f t="shared" ca="1" si="1"/>
        <v>21</v>
      </c>
      <c r="J3" s="52"/>
      <c r="K3" s="53">
        <v>42820</v>
      </c>
      <c r="L3" s="54">
        <v>2</v>
      </c>
      <c r="M3" s="55"/>
      <c r="O3" s="56"/>
      <c r="R3" s="61">
        <v>5000</v>
      </c>
      <c r="S3" s="62">
        <v>0.01</v>
      </c>
      <c r="U3" s="40" t="s">
        <v>253</v>
      </c>
      <c r="V3" s="59">
        <v>35</v>
      </c>
      <c r="W3" s="59">
        <v>38</v>
      </c>
      <c r="X3" s="59">
        <v>36</v>
      </c>
      <c r="Y3" s="59">
        <v>48</v>
      </c>
      <c r="Z3" s="59">
        <v>41</v>
      </c>
      <c r="AA3" s="59"/>
      <c r="AB3" s="60" t="s">
        <v>254</v>
      </c>
      <c r="AC3" s="59">
        <v>39</v>
      </c>
      <c r="AD3" s="59">
        <v>35</v>
      </c>
      <c r="AE3" s="59">
        <v>45</v>
      </c>
      <c r="AF3" s="59">
        <v>34</v>
      </c>
      <c r="AG3" s="59">
        <v>37</v>
      </c>
    </row>
    <row r="4" spans="1:33" x14ac:dyDescent="0.25">
      <c r="A4" s="45" t="s">
        <v>255</v>
      </c>
      <c r="B4" s="46" t="s">
        <v>245</v>
      </c>
      <c r="C4" s="45" t="s">
        <v>246</v>
      </c>
      <c r="D4" s="47">
        <v>100432924</v>
      </c>
      <c r="E4" s="48">
        <v>4022804104</v>
      </c>
      <c r="F4" s="45" t="s">
        <v>256</v>
      </c>
      <c r="G4" s="49">
        <v>37172</v>
      </c>
      <c r="H4" s="50" t="str">
        <f t="shared" si="0"/>
        <v>Oct</v>
      </c>
      <c r="I4" s="51">
        <f t="shared" ca="1" si="1"/>
        <v>15</v>
      </c>
      <c r="J4" s="52" t="s">
        <v>257</v>
      </c>
      <c r="K4" s="53">
        <v>29460</v>
      </c>
      <c r="L4" s="54">
        <v>1</v>
      </c>
      <c r="M4" s="55"/>
      <c r="N4" s="63"/>
      <c r="O4" s="56"/>
      <c r="R4" s="61">
        <v>25000</v>
      </c>
      <c r="S4" s="62">
        <v>0.05</v>
      </c>
      <c r="U4" s="40" t="s">
        <v>258</v>
      </c>
      <c r="V4" s="59">
        <v>49</v>
      </c>
      <c r="W4" s="59">
        <v>36</v>
      </c>
      <c r="X4" s="59">
        <v>40</v>
      </c>
      <c r="Y4" s="59">
        <v>35</v>
      </c>
      <c r="Z4" s="59">
        <v>44</v>
      </c>
      <c r="AA4" s="59"/>
      <c r="AB4" s="60" t="s">
        <v>259</v>
      </c>
      <c r="AC4" s="59">
        <v>30</v>
      </c>
      <c r="AD4" s="59">
        <v>45</v>
      </c>
      <c r="AE4" s="59">
        <v>43</v>
      </c>
      <c r="AF4" s="59">
        <v>46</v>
      </c>
      <c r="AG4" s="59">
        <v>30</v>
      </c>
    </row>
    <row r="5" spans="1:33" x14ac:dyDescent="0.25">
      <c r="A5" s="45" t="s">
        <v>260</v>
      </c>
      <c r="B5" s="46" t="s">
        <v>245</v>
      </c>
      <c r="C5" s="45" t="s">
        <v>246</v>
      </c>
      <c r="D5" s="47">
        <v>914428485</v>
      </c>
      <c r="E5" s="48">
        <v>2521774590</v>
      </c>
      <c r="F5" s="45" t="s">
        <v>261</v>
      </c>
      <c r="G5" s="49">
        <v>34291</v>
      </c>
      <c r="H5" s="50" t="str">
        <f t="shared" si="0"/>
        <v>Nov</v>
      </c>
      <c r="I5" s="51">
        <f t="shared" ca="1" si="1"/>
        <v>22</v>
      </c>
      <c r="J5" s="52" t="s">
        <v>262</v>
      </c>
      <c r="K5" s="53">
        <v>32150</v>
      </c>
      <c r="L5" s="54">
        <v>4</v>
      </c>
      <c r="M5" s="55"/>
      <c r="N5" s="63"/>
      <c r="O5" s="56"/>
      <c r="R5" s="61">
        <v>35000</v>
      </c>
      <c r="S5" s="62">
        <v>0.06</v>
      </c>
      <c r="U5" s="40" t="s">
        <v>263</v>
      </c>
      <c r="V5" s="59">
        <v>35</v>
      </c>
      <c r="W5" s="59">
        <v>46</v>
      </c>
      <c r="X5" s="59">
        <v>44</v>
      </c>
      <c r="Y5" s="59">
        <v>48</v>
      </c>
      <c r="Z5" s="59">
        <v>47</v>
      </c>
      <c r="AA5" s="59"/>
      <c r="AB5" s="60" t="s">
        <v>264</v>
      </c>
      <c r="AC5" s="59">
        <v>46</v>
      </c>
      <c r="AD5" s="59">
        <v>40</v>
      </c>
      <c r="AE5" s="59">
        <v>45</v>
      </c>
      <c r="AF5" s="59">
        <v>45</v>
      </c>
      <c r="AG5" s="59">
        <v>37</v>
      </c>
    </row>
    <row r="6" spans="1:33" x14ac:dyDescent="0.25">
      <c r="A6" s="45" t="s">
        <v>265</v>
      </c>
      <c r="B6" s="46" t="s">
        <v>266</v>
      </c>
      <c r="C6" s="45" t="s">
        <v>246</v>
      </c>
      <c r="D6" s="47">
        <v>991656720</v>
      </c>
      <c r="E6" s="48">
        <v>2528138394</v>
      </c>
      <c r="F6" s="45" t="s">
        <v>256</v>
      </c>
      <c r="G6" s="49">
        <v>40448</v>
      </c>
      <c r="H6" s="50" t="str">
        <f t="shared" si="0"/>
        <v>Sep</v>
      </c>
      <c r="I6" s="51">
        <f t="shared" ca="1" si="1"/>
        <v>6</v>
      </c>
      <c r="J6" s="52" t="s">
        <v>267</v>
      </c>
      <c r="K6" s="53">
        <v>87400</v>
      </c>
      <c r="L6" s="54">
        <v>2</v>
      </c>
      <c r="M6" s="55"/>
      <c r="O6" s="56"/>
      <c r="R6" s="61">
        <v>45000</v>
      </c>
      <c r="S6" s="62">
        <v>7.0000000000000007E-2</v>
      </c>
      <c r="U6" s="40" t="s">
        <v>268</v>
      </c>
      <c r="V6" s="59">
        <v>31</v>
      </c>
      <c r="W6" s="59">
        <v>49</v>
      </c>
      <c r="X6" s="59">
        <v>43</v>
      </c>
      <c r="Y6" s="59">
        <v>42</v>
      </c>
      <c r="Z6" s="59">
        <v>34</v>
      </c>
      <c r="AA6" s="59"/>
      <c r="AB6" s="60" t="s">
        <v>269</v>
      </c>
      <c r="AC6" s="59">
        <v>38</v>
      </c>
      <c r="AD6" s="59">
        <v>39</v>
      </c>
      <c r="AE6" s="59">
        <v>42</v>
      </c>
      <c r="AF6" s="59">
        <v>40</v>
      </c>
      <c r="AG6" s="59">
        <v>43</v>
      </c>
    </row>
    <row r="7" spans="1:33" x14ac:dyDescent="0.25">
      <c r="A7" s="45" t="s">
        <v>270</v>
      </c>
      <c r="B7" s="46" t="s">
        <v>271</v>
      </c>
      <c r="C7" s="45" t="s">
        <v>272</v>
      </c>
      <c r="D7" s="47">
        <v>535539723</v>
      </c>
      <c r="E7" s="48">
        <v>2523492633</v>
      </c>
      <c r="F7" s="45" t="s">
        <v>261</v>
      </c>
      <c r="G7" s="49">
        <v>34475</v>
      </c>
      <c r="H7" s="50" t="str">
        <f t="shared" si="0"/>
        <v>May</v>
      </c>
      <c r="I7" s="51">
        <f t="shared" ca="1" si="1"/>
        <v>22</v>
      </c>
      <c r="J7" s="52" t="s">
        <v>262</v>
      </c>
      <c r="K7" s="53">
        <v>36530</v>
      </c>
      <c r="L7" s="54">
        <v>1</v>
      </c>
      <c r="M7" s="55"/>
      <c r="O7" s="56"/>
      <c r="R7" s="61">
        <v>55000</v>
      </c>
      <c r="S7" s="62">
        <v>0.08</v>
      </c>
      <c r="U7" s="40" t="s">
        <v>273</v>
      </c>
      <c r="V7" s="59">
        <v>43</v>
      </c>
      <c r="W7" s="59">
        <v>38</v>
      </c>
      <c r="X7" s="59">
        <v>44</v>
      </c>
      <c r="Y7" s="59">
        <v>44</v>
      </c>
      <c r="Z7" s="59">
        <v>39</v>
      </c>
      <c r="AA7" s="59"/>
      <c r="AB7" s="60" t="s">
        <v>274</v>
      </c>
      <c r="AC7" s="59">
        <v>30</v>
      </c>
      <c r="AD7" s="59">
        <v>47</v>
      </c>
      <c r="AE7" s="59">
        <v>46</v>
      </c>
      <c r="AF7" s="59">
        <v>42</v>
      </c>
      <c r="AG7" s="59">
        <v>34</v>
      </c>
    </row>
    <row r="8" spans="1:33" x14ac:dyDescent="0.25">
      <c r="A8" s="45" t="s">
        <v>275</v>
      </c>
      <c r="B8" s="46" t="s">
        <v>245</v>
      </c>
      <c r="C8" s="45" t="s">
        <v>272</v>
      </c>
      <c r="D8" s="47">
        <v>297852686</v>
      </c>
      <c r="E8" s="48">
        <v>2525832994</v>
      </c>
      <c r="F8" s="45" t="s">
        <v>256</v>
      </c>
      <c r="G8" s="49">
        <v>40705</v>
      </c>
      <c r="H8" s="50" t="str">
        <f t="shared" si="0"/>
        <v>Jun</v>
      </c>
      <c r="I8" s="51">
        <f t="shared" ca="1" si="1"/>
        <v>5</v>
      </c>
      <c r="J8" s="52" t="s">
        <v>276</v>
      </c>
      <c r="K8" s="53">
        <v>69950</v>
      </c>
      <c r="L8" s="54">
        <v>5</v>
      </c>
      <c r="M8" s="55"/>
      <c r="O8" s="56"/>
      <c r="R8" s="61">
        <v>65000</v>
      </c>
      <c r="S8" s="62">
        <v>0.1</v>
      </c>
    </row>
    <row r="9" spans="1:33" x14ac:dyDescent="0.25">
      <c r="A9" s="45" t="s">
        <v>277</v>
      </c>
      <c r="B9" s="46" t="s">
        <v>271</v>
      </c>
      <c r="C9" s="45" t="s">
        <v>272</v>
      </c>
      <c r="D9" s="47">
        <v>638271383</v>
      </c>
      <c r="E9" s="48">
        <v>2521641031</v>
      </c>
      <c r="F9" s="45" t="s">
        <v>256</v>
      </c>
      <c r="G9" s="49">
        <v>39143</v>
      </c>
      <c r="H9" s="50" t="str">
        <f t="shared" si="0"/>
        <v>Mar</v>
      </c>
      <c r="I9" s="51">
        <f t="shared" ca="1" si="1"/>
        <v>9</v>
      </c>
      <c r="J9" s="52" t="s">
        <v>257</v>
      </c>
      <c r="K9" s="53">
        <v>59220</v>
      </c>
      <c r="L9" s="54">
        <v>4</v>
      </c>
      <c r="M9" s="55"/>
      <c r="O9" s="56"/>
      <c r="R9" s="61">
        <v>75000</v>
      </c>
      <c r="S9" s="62">
        <v>0.11</v>
      </c>
      <c r="U9" s="64"/>
      <c r="V9" s="65"/>
      <c r="W9" s="65"/>
      <c r="X9" s="65"/>
      <c r="Y9" s="65"/>
      <c r="Z9" s="65"/>
      <c r="AB9" s="66"/>
      <c r="AC9" s="67"/>
      <c r="AD9" s="67"/>
      <c r="AE9" s="67"/>
      <c r="AF9" s="67"/>
    </row>
    <row r="10" spans="1:33" x14ac:dyDescent="0.25">
      <c r="A10" s="45" t="s">
        <v>278</v>
      </c>
      <c r="B10" s="46" t="s">
        <v>245</v>
      </c>
      <c r="C10" s="45" t="s">
        <v>272</v>
      </c>
      <c r="D10" s="47">
        <v>771277493</v>
      </c>
      <c r="E10" s="48">
        <v>2522872439</v>
      </c>
      <c r="F10" s="45" t="s">
        <v>252</v>
      </c>
      <c r="G10" s="49">
        <v>41127</v>
      </c>
      <c r="H10" s="50" t="str">
        <f t="shared" si="0"/>
        <v>Aug</v>
      </c>
      <c r="I10" s="51">
        <f t="shared" ca="1" si="1"/>
        <v>4</v>
      </c>
      <c r="J10" s="52"/>
      <c r="K10" s="53">
        <v>12760</v>
      </c>
      <c r="L10" s="54">
        <v>4</v>
      </c>
      <c r="M10" s="55"/>
      <c r="O10" s="56"/>
      <c r="R10" s="61">
        <v>85000</v>
      </c>
      <c r="S10" s="62">
        <v>0.12</v>
      </c>
      <c r="U10" s="64"/>
      <c r="V10" s="68"/>
      <c r="W10" s="68"/>
      <c r="X10" s="68"/>
      <c r="Y10" s="68"/>
      <c r="Z10" s="68"/>
      <c r="AA10" s="69"/>
      <c r="AB10" s="70"/>
      <c r="AC10" s="52"/>
      <c r="AD10" s="52"/>
      <c r="AE10" s="52"/>
      <c r="AF10" s="52"/>
    </row>
    <row r="11" spans="1:33" x14ac:dyDescent="0.25">
      <c r="A11" s="45" t="s">
        <v>279</v>
      </c>
      <c r="B11" s="46" t="s">
        <v>280</v>
      </c>
      <c r="C11" s="45" t="s">
        <v>272</v>
      </c>
      <c r="D11" s="47">
        <v>415076748</v>
      </c>
      <c r="E11" s="48">
        <v>9195230846</v>
      </c>
      <c r="F11" s="45" t="s">
        <v>252</v>
      </c>
      <c r="G11" s="49">
        <v>34483</v>
      </c>
      <c r="H11" s="50" t="str">
        <f t="shared" si="0"/>
        <v>May</v>
      </c>
      <c r="I11" s="51">
        <f t="shared" ca="1" si="1"/>
        <v>22</v>
      </c>
      <c r="J11" s="52" t="s">
        <v>257</v>
      </c>
      <c r="K11" s="53">
        <v>34880</v>
      </c>
      <c r="L11" s="54">
        <v>3</v>
      </c>
      <c r="M11" s="55"/>
      <c r="O11" s="56"/>
      <c r="R11" s="61">
        <v>95000</v>
      </c>
      <c r="S11" s="62">
        <v>0.13</v>
      </c>
      <c r="U11" s="64"/>
      <c r="V11" s="68"/>
      <c r="W11" s="68"/>
      <c r="X11" s="68"/>
      <c r="Y11" s="68"/>
      <c r="Z11" s="68"/>
      <c r="AA11" s="52"/>
      <c r="AB11" s="70"/>
      <c r="AC11" s="52"/>
      <c r="AD11" s="52"/>
      <c r="AE11" s="52"/>
      <c r="AF11" s="52"/>
    </row>
    <row r="12" spans="1:33" x14ac:dyDescent="0.25">
      <c r="A12" s="45" t="s">
        <v>281</v>
      </c>
      <c r="B12" s="46" t="s">
        <v>251</v>
      </c>
      <c r="C12" s="45" t="s">
        <v>272</v>
      </c>
      <c r="D12" s="47">
        <v>356110882</v>
      </c>
      <c r="E12" s="48">
        <v>2527936742</v>
      </c>
      <c r="F12" s="45" t="s">
        <v>261</v>
      </c>
      <c r="G12" s="49">
        <v>37218</v>
      </c>
      <c r="H12" s="50" t="str">
        <f t="shared" si="0"/>
        <v>Nov</v>
      </c>
      <c r="I12" s="51">
        <f t="shared" ca="1" si="1"/>
        <v>14</v>
      </c>
      <c r="J12" s="52" t="s">
        <v>257</v>
      </c>
      <c r="K12" s="53">
        <v>18290</v>
      </c>
      <c r="L12" s="54">
        <v>1</v>
      </c>
      <c r="M12" s="55"/>
      <c r="O12" s="56"/>
      <c r="R12" s="71"/>
      <c r="U12" s="64"/>
      <c r="V12" s="68"/>
      <c r="W12" s="68"/>
      <c r="X12" s="68"/>
      <c r="Y12" s="68"/>
      <c r="Z12" s="68"/>
      <c r="AA12" s="52"/>
      <c r="AB12" s="70"/>
      <c r="AC12" s="52"/>
      <c r="AD12" s="52"/>
      <c r="AE12" s="52"/>
      <c r="AF12" s="52"/>
    </row>
    <row r="13" spans="1:33" x14ac:dyDescent="0.25">
      <c r="A13" s="45" t="s">
        <v>282</v>
      </c>
      <c r="B13" s="46" t="s">
        <v>280</v>
      </c>
      <c r="C13" s="45" t="s">
        <v>272</v>
      </c>
      <c r="D13" s="47">
        <v>475256935</v>
      </c>
      <c r="E13" s="48">
        <v>2527852326</v>
      </c>
      <c r="F13" s="45" t="s">
        <v>256</v>
      </c>
      <c r="G13" s="49">
        <v>36743</v>
      </c>
      <c r="H13" s="50" t="str">
        <f t="shared" si="0"/>
        <v>Aug</v>
      </c>
      <c r="I13" s="51">
        <f t="shared" ca="1" si="1"/>
        <v>16</v>
      </c>
      <c r="J13" s="52" t="s">
        <v>283</v>
      </c>
      <c r="K13" s="53">
        <v>102360</v>
      </c>
      <c r="L13" s="54">
        <v>2</v>
      </c>
      <c r="M13" s="55"/>
      <c r="O13" s="56"/>
      <c r="R13" s="71"/>
      <c r="U13" s="64"/>
      <c r="V13" s="68"/>
      <c r="W13" s="68"/>
      <c r="X13" s="68"/>
      <c r="Y13" s="68"/>
      <c r="Z13" s="68"/>
      <c r="AA13" s="52"/>
      <c r="AB13" s="70"/>
      <c r="AC13" s="52"/>
      <c r="AD13" s="52"/>
      <c r="AE13" s="52"/>
      <c r="AF13" s="52"/>
    </row>
    <row r="14" spans="1:33" x14ac:dyDescent="0.25">
      <c r="A14" s="39" t="s">
        <v>284</v>
      </c>
      <c r="B14" s="46" t="s">
        <v>285</v>
      </c>
      <c r="C14" s="39" t="s">
        <v>272</v>
      </c>
      <c r="D14" s="72">
        <v>768681542</v>
      </c>
      <c r="E14" s="73">
        <v>8021673267</v>
      </c>
      <c r="F14" s="39" t="s">
        <v>256</v>
      </c>
      <c r="G14" s="49">
        <v>36465</v>
      </c>
      <c r="H14" s="50" t="str">
        <f t="shared" si="0"/>
        <v>Nov</v>
      </c>
      <c r="I14" s="51">
        <f t="shared" ca="1" si="1"/>
        <v>17</v>
      </c>
      <c r="J14" s="52" t="s">
        <v>257</v>
      </c>
      <c r="K14" s="53">
        <v>73000</v>
      </c>
      <c r="L14" s="54">
        <v>2</v>
      </c>
      <c r="M14" s="55"/>
      <c r="O14" s="56"/>
      <c r="U14" s="64"/>
      <c r="V14" s="68"/>
      <c r="W14" s="68"/>
      <c r="X14" s="68"/>
      <c r="Y14" s="68"/>
      <c r="Z14" s="68"/>
      <c r="AA14" s="52"/>
      <c r="AB14" s="70"/>
      <c r="AC14" s="52"/>
      <c r="AD14" s="52"/>
      <c r="AE14" s="52"/>
      <c r="AF14" s="52"/>
    </row>
    <row r="15" spans="1:33" x14ac:dyDescent="0.25">
      <c r="A15" s="39" t="s">
        <v>286</v>
      </c>
      <c r="B15" s="46" t="s">
        <v>245</v>
      </c>
      <c r="C15" s="39" t="s">
        <v>272</v>
      </c>
      <c r="D15" s="72">
        <v>767961463</v>
      </c>
      <c r="E15" s="73">
        <v>2523646601</v>
      </c>
      <c r="F15" s="39" t="s">
        <v>247</v>
      </c>
      <c r="G15" s="49">
        <v>37778</v>
      </c>
      <c r="H15" s="50" t="str">
        <f t="shared" si="0"/>
        <v>Jun</v>
      </c>
      <c r="I15" s="51">
        <f t="shared" ca="1" si="1"/>
        <v>13</v>
      </c>
      <c r="J15" s="52"/>
      <c r="K15" s="53">
        <v>92030</v>
      </c>
      <c r="L15" s="54">
        <v>3</v>
      </c>
      <c r="M15" s="55"/>
      <c r="O15" s="56"/>
      <c r="U15" s="64"/>
      <c r="V15" s="68"/>
      <c r="W15" s="68"/>
      <c r="X15" s="68"/>
      <c r="Y15" s="68"/>
      <c r="Z15" s="68"/>
      <c r="AA15" s="52"/>
      <c r="AB15" s="70"/>
      <c r="AC15" s="52"/>
      <c r="AD15" s="52"/>
      <c r="AE15" s="52"/>
      <c r="AF15" s="52"/>
    </row>
    <row r="16" spans="1:33" x14ac:dyDescent="0.25">
      <c r="A16" s="39" t="s">
        <v>287</v>
      </c>
      <c r="B16" s="46" t="s">
        <v>271</v>
      </c>
      <c r="C16" s="39" t="s">
        <v>272</v>
      </c>
      <c r="D16" s="72">
        <v>202815919</v>
      </c>
      <c r="E16" s="73">
        <v>2528467597</v>
      </c>
      <c r="F16" s="39" t="s">
        <v>247</v>
      </c>
      <c r="G16" s="49">
        <v>35077</v>
      </c>
      <c r="H16" s="50" t="str">
        <f t="shared" si="0"/>
        <v>Jan</v>
      </c>
      <c r="I16" s="51">
        <f t="shared" ca="1" si="1"/>
        <v>20</v>
      </c>
      <c r="J16" s="52"/>
      <c r="K16" s="53">
        <v>79900</v>
      </c>
      <c r="L16" s="54">
        <v>5</v>
      </c>
      <c r="M16" s="55"/>
      <c r="N16" s="63"/>
      <c r="O16" s="56"/>
      <c r="V16" s="74"/>
      <c r="W16" s="74"/>
      <c r="X16" s="74"/>
      <c r="Y16" s="74"/>
      <c r="Z16" s="52"/>
      <c r="AA16" s="52"/>
      <c r="AB16" s="52"/>
      <c r="AC16" s="52"/>
      <c r="AD16" s="52"/>
      <c r="AE16" s="52"/>
      <c r="AF16" s="52"/>
    </row>
    <row r="17" spans="1:14" x14ac:dyDescent="0.25">
      <c r="A17" s="39" t="s">
        <v>288</v>
      </c>
      <c r="B17" s="46" t="s">
        <v>271</v>
      </c>
      <c r="C17" s="39" t="s">
        <v>272</v>
      </c>
      <c r="D17" s="72">
        <v>781913936</v>
      </c>
      <c r="E17" s="73">
        <v>9197889149</v>
      </c>
      <c r="F17" s="39" t="s">
        <v>261</v>
      </c>
      <c r="G17" s="49">
        <v>38783</v>
      </c>
      <c r="H17" s="50" t="str">
        <f t="shared" si="0"/>
        <v>Mar</v>
      </c>
      <c r="I17" s="51">
        <f t="shared" ca="1" si="1"/>
        <v>10</v>
      </c>
      <c r="J17" s="52" t="s">
        <v>276</v>
      </c>
      <c r="K17" s="53">
        <v>21280</v>
      </c>
      <c r="L17" s="54">
        <v>3</v>
      </c>
      <c r="M17" s="55"/>
    </row>
    <row r="18" spans="1:14" x14ac:dyDescent="0.25">
      <c r="A18" s="39" t="s">
        <v>289</v>
      </c>
      <c r="B18" s="46" t="s">
        <v>251</v>
      </c>
      <c r="C18" s="39" t="s">
        <v>272</v>
      </c>
      <c r="D18" s="72">
        <v>975603308</v>
      </c>
      <c r="E18" s="73">
        <v>9192693355</v>
      </c>
      <c r="F18" s="39" t="s">
        <v>256</v>
      </c>
      <c r="G18" s="49">
        <v>38405</v>
      </c>
      <c r="H18" s="50" t="str">
        <f t="shared" si="0"/>
        <v>Feb</v>
      </c>
      <c r="I18" s="51">
        <f t="shared" ca="1" si="1"/>
        <v>11</v>
      </c>
      <c r="J18" s="52" t="s">
        <v>257</v>
      </c>
      <c r="K18" s="53">
        <v>36940</v>
      </c>
      <c r="L18" s="54">
        <v>4</v>
      </c>
      <c r="M18" s="55"/>
    </row>
    <row r="19" spans="1:14" x14ac:dyDescent="0.25">
      <c r="A19" s="39" t="s">
        <v>290</v>
      </c>
      <c r="B19" s="46" t="s">
        <v>266</v>
      </c>
      <c r="C19" s="39" t="s">
        <v>272</v>
      </c>
      <c r="D19" s="72">
        <v>840313216</v>
      </c>
      <c r="E19" s="73">
        <v>9198449868</v>
      </c>
      <c r="F19" s="39" t="s">
        <v>256</v>
      </c>
      <c r="G19" s="49">
        <v>40070</v>
      </c>
      <c r="H19" s="50" t="str">
        <f t="shared" si="0"/>
        <v>Sep</v>
      </c>
      <c r="I19" s="51">
        <f t="shared" ca="1" si="1"/>
        <v>7</v>
      </c>
      <c r="J19" s="52" t="s">
        <v>267</v>
      </c>
      <c r="K19" s="53">
        <v>45200</v>
      </c>
      <c r="L19" s="54">
        <v>3</v>
      </c>
      <c r="M19" s="55"/>
    </row>
    <row r="20" spans="1:14" x14ac:dyDescent="0.25">
      <c r="A20" s="39" t="s">
        <v>291</v>
      </c>
      <c r="B20" s="46" t="s">
        <v>266</v>
      </c>
      <c r="C20" s="39" t="s">
        <v>272</v>
      </c>
      <c r="D20" s="72">
        <v>456946966</v>
      </c>
      <c r="E20" s="73">
        <v>9194680033</v>
      </c>
      <c r="F20" s="39" t="s">
        <v>256</v>
      </c>
      <c r="G20" s="49">
        <v>37765</v>
      </c>
      <c r="H20" s="50" t="str">
        <f t="shared" si="0"/>
        <v>May</v>
      </c>
      <c r="I20" s="51">
        <f t="shared" ca="1" si="1"/>
        <v>13</v>
      </c>
      <c r="J20" s="52" t="s">
        <v>276</v>
      </c>
      <c r="K20" s="53">
        <v>89810</v>
      </c>
      <c r="L20" s="54">
        <v>4</v>
      </c>
      <c r="M20" s="55"/>
    </row>
    <row r="21" spans="1:14" x14ac:dyDescent="0.25">
      <c r="A21" s="39" t="s">
        <v>292</v>
      </c>
      <c r="B21" s="46" t="s">
        <v>285</v>
      </c>
      <c r="C21" s="39" t="s">
        <v>272</v>
      </c>
      <c r="D21" s="72">
        <v>542051793</v>
      </c>
      <c r="E21" s="73">
        <v>2527317354</v>
      </c>
      <c r="F21" s="39" t="s">
        <v>256</v>
      </c>
      <c r="G21" s="49">
        <v>37261</v>
      </c>
      <c r="H21" s="50" t="str">
        <f t="shared" si="0"/>
        <v>Jan</v>
      </c>
      <c r="I21" s="51">
        <f t="shared" ca="1" si="1"/>
        <v>14</v>
      </c>
      <c r="J21" s="52" t="s">
        <v>257</v>
      </c>
      <c r="K21" s="53">
        <v>90180</v>
      </c>
      <c r="L21" s="54">
        <v>1</v>
      </c>
      <c r="M21" s="55"/>
    </row>
    <row r="22" spans="1:14" x14ac:dyDescent="0.25">
      <c r="A22" s="39" t="s">
        <v>293</v>
      </c>
      <c r="B22" s="46" t="s">
        <v>285</v>
      </c>
      <c r="C22" s="39" t="s">
        <v>272</v>
      </c>
      <c r="D22" s="72">
        <v>608796012</v>
      </c>
      <c r="E22" s="73">
        <v>9194075460</v>
      </c>
      <c r="F22" s="39" t="s">
        <v>256</v>
      </c>
      <c r="G22" s="49">
        <v>34832</v>
      </c>
      <c r="H22" s="50" t="str">
        <f t="shared" si="0"/>
        <v>May</v>
      </c>
      <c r="I22" s="51">
        <f t="shared" ca="1" si="1"/>
        <v>21</v>
      </c>
      <c r="J22" s="52" t="s">
        <v>257</v>
      </c>
      <c r="K22" s="53">
        <v>95710</v>
      </c>
      <c r="L22" s="54">
        <v>5</v>
      </c>
      <c r="M22" s="55"/>
    </row>
    <row r="23" spans="1:14" x14ac:dyDescent="0.25">
      <c r="A23" s="39" t="s">
        <v>294</v>
      </c>
      <c r="B23" s="46" t="s">
        <v>251</v>
      </c>
      <c r="C23" s="39" t="s">
        <v>272</v>
      </c>
      <c r="D23" s="72">
        <v>481336564</v>
      </c>
      <c r="E23" s="73">
        <v>9196479087</v>
      </c>
      <c r="F23" s="39" t="s">
        <v>256</v>
      </c>
      <c r="G23" s="49">
        <v>37144</v>
      </c>
      <c r="H23" s="50" t="str">
        <f t="shared" si="0"/>
        <v>Sep</v>
      </c>
      <c r="I23" s="51">
        <f t="shared" ca="1" si="1"/>
        <v>15</v>
      </c>
      <c r="J23" s="52" t="s">
        <v>283</v>
      </c>
      <c r="K23" s="53">
        <v>86510</v>
      </c>
      <c r="L23" s="54">
        <v>5</v>
      </c>
      <c r="M23" s="55"/>
    </row>
    <row r="24" spans="1:14" x14ac:dyDescent="0.25">
      <c r="A24" s="39" t="s">
        <v>295</v>
      </c>
      <c r="B24" s="46" t="s">
        <v>245</v>
      </c>
      <c r="C24" s="39" t="s">
        <v>296</v>
      </c>
      <c r="D24" s="72">
        <v>460412180</v>
      </c>
      <c r="E24" s="73">
        <v>9196822349</v>
      </c>
      <c r="F24" s="39" t="s">
        <v>256</v>
      </c>
      <c r="G24" s="49">
        <v>41107</v>
      </c>
      <c r="H24" s="50" t="str">
        <f t="shared" si="0"/>
        <v>Jul</v>
      </c>
      <c r="I24" s="51">
        <f t="shared" ca="1" si="1"/>
        <v>4</v>
      </c>
      <c r="J24" s="52" t="s">
        <v>262</v>
      </c>
      <c r="K24" s="53">
        <v>61420</v>
      </c>
      <c r="L24" s="54">
        <v>3</v>
      </c>
      <c r="M24" s="55"/>
      <c r="N24" s="63"/>
    </row>
    <row r="25" spans="1:14" x14ac:dyDescent="0.25">
      <c r="A25" s="39" t="s">
        <v>297</v>
      </c>
      <c r="B25" s="46" t="s">
        <v>245</v>
      </c>
      <c r="C25" s="39" t="s">
        <v>296</v>
      </c>
      <c r="D25" s="72">
        <v>515543972</v>
      </c>
      <c r="E25" s="73">
        <v>9193539483</v>
      </c>
      <c r="F25" s="39" t="s">
        <v>256</v>
      </c>
      <c r="G25" s="49">
        <v>37620</v>
      </c>
      <c r="H25" s="50" t="str">
        <f t="shared" si="0"/>
        <v>Dec</v>
      </c>
      <c r="I25" s="51">
        <f t="shared" ca="1" si="1"/>
        <v>13</v>
      </c>
      <c r="J25" s="52" t="s">
        <v>267</v>
      </c>
      <c r="K25" s="53">
        <v>67730</v>
      </c>
      <c r="L25" s="54">
        <v>1</v>
      </c>
      <c r="M25" s="55"/>
    </row>
    <row r="26" spans="1:14" x14ac:dyDescent="0.25">
      <c r="A26" s="39" t="s">
        <v>298</v>
      </c>
      <c r="B26" s="46" t="s">
        <v>285</v>
      </c>
      <c r="C26" s="39" t="s">
        <v>296</v>
      </c>
      <c r="D26" s="72">
        <v>533976888</v>
      </c>
      <c r="E26" s="73">
        <v>9192572783</v>
      </c>
      <c r="F26" s="39" t="s">
        <v>256</v>
      </c>
      <c r="G26" s="49">
        <v>37215</v>
      </c>
      <c r="H26" s="50" t="str">
        <f t="shared" si="0"/>
        <v>Nov</v>
      </c>
      <c r="I26" s="51">
        <f t="shared" ca="1" si="1"/>
        <v>14</v>
      </c>
      <c r="J26" s="52" t="s">
        <v>276</v>
      </c>
      <c r="K26" s="53">
        <v>57420</v>
      </c>
      <c r="L26" s="54">
        <v>1</v>
      </c>
      <c r="M26" s="55"/>
    </row>
    <row r="27" spans="1:14" x14ac:dyDescent="0.25">
      <c r="A27" s="39" t="s">
        <v>299</v>
      </c>
      <c r="B27" s="46" t="s">
        <v>245</v>
      </c>
      <c r="C27" s="39" t="s">
        <v>296</v>
      </c>
      <c r="D27" s="72">
        <v>796079833</v>
      </c>
      <c r="E27" s="73">
        <v>2525327906</v>
      </c>
      <c r="F27" s="39" t="s">
        <v>261</v>
      </c>
      <c r="G27" s="49">
        <v>36565</v>
      </c>
      <c r="H27" s="50" t="str">
        <f t="shared" si="0"/>
        <v>Feb</v>
      </c>
      <c r="I27" s="51">
        <f t="shared" ca="1" si="1"/>
        <v>16</v>
      </c>
      <c r="J27" s="52" t="s">
        <v>257</v>
      </c>
      <c r="K27" s="53">
        <v>13230</v>
      </c>
      <c r="L27" s="54">
        <v>1</v>
      </c>
      <c r="M27" s="55"/>
    </row>
    <row r="28" spans="1:14" x14ac:dyDescent="0.25">
      <c r="A28" s="39" t="s">
        <v>300</v>
      </c>
      <c r="B28" s="46" t="s">
        <v>271</v>
      </c>
      <c r="C28" s="39" t="s">
        <v>296</v>
      </c>
      <c r="D28" s="72">
        <v>216607562</v>
      </c>
      <c r="E28" s="73">
        <v>2521593705</v>
      </c>
      <c r="F28" s="39" t="s">
        <v>256</v>
      </c>
      <c r="G28" s="49">
        <v>36460</v>
      </c>
      <c r="H28" s="50" t="str">
        <f t="shared" si="0"/>
        <v>Oct</v>
      </c>
      <c r="I28" s="51">
        <f t="shared" ca="1" si="1"/>
        <v>17</v>
      </c>
      <c r="J28" s="52" t="s">
        <v>283</v>
      </c>
      <c r="K28" s="53">
        <v>59230</v>
      </c>
      <c r="L28" s="54">
        <v>2</v>
      </c>
      <c r="M28" s="55"/>
    </row>
    <row r="29" spans="1:14" x14ac:dyDescent="0.25">
      <c r="A29" s="39" t="s">
        <v>301</v>
      </c>
      <c r="B29" s="46" t="s">
        <v>271</v>
      </c>
      <c r="C29" s="39" t="s">
        <v>296</v>
      </c>
      <c r="D29" s="72">
        <v>243350742</v>
      </c>
      <c r="E29" s="73">
        <v>2528304204</v>
      </c>
      <c r="F29" s="39" t="s">
        <v>252</v>
      </c>
      <c r="G29" s="49">
        <v>36675</v>
      </c>
      <c r="H29" s="50" t="str">
        <f t="shared" si="0"/>
        <v>May</v>
      </c>
      <c r="I29" s="51">
        <f t="shared" ca="1" si="1"/>
        <v>16</v>
      </c>
      <c r="J29" s="52"/>
      <c r="K29" s="53">
        <v>24030</v>
      </c>
      <c r="L29" s="54">
        <v>4</v>
      </c>
      <c r="M29" s="55"/>
    </row>
    <row r="30" spans="1:14" x14ac:dyDescent="0.25">
      <c r="A30" s="39" t="s">
        <v>302</v>
      </c>
      <c r="B30" s="46" t="s">
        <v>251</v>
      </c>
      <c r="C30" s="39" t="s">
        <v>296</v>
      </c>
      <c r="D30" s="72">
        <v>764375259</v>
      </c>
      <c r="E30" s="73">
        <v>2527515181</v>
      </c>
      <c r="F30" s="39" t="s">
        <v>256</v>
      </c>
      <c r="G30" s="49">
        <v>39052</v>
      </c>
      <c r="H30" s="50" t="str">
        <f t="shared" si="0"/>
        <v>Dec</v>
      </c>
      <c r="I30" s="51">
        <f t="shared" ca="1" si="1"/>
        <v>9</v>
      </c>
      <c r="J30" s="52" t="s">
        <v>257</v>
      </c>
      <c r="K30" s="53">
        <v>36420</v>
      </c>
      <c r="L30" s="54">
        <v>1</v>
      </c>
      <c r="M30" s="55"/>
    </row>
    <row r="31" spans="1:14" x14ac:dyDescent="0.25">
      <c r="A31" s="39" t="s">
        <v>303</v>
      </c>
      <c r="B31" s="46" t="s">
        <v>245</v>
      </c>
      <c r="C31" s="39" t="s">
        <v>296</v>
      </c>
      <c r="D31" s="72">
        <v>278431222</v>
      </c>
      <c r="E31" s="73">
        <v>9196699611</v>
      </c>
      <c r="F31" s="39" t="s">
        <v>256</v>
      </c>
      <c r="G31" s="49">
        <v>37894</v>
      </c>
      <c r="H31" s="50" t="str">
        <f t="shared" si="0"/>
        <v>Sep</v>
      </c>
      <c r="I31" s="51">
        <f t="shared" ca="1" si="1"/>
        <v>13</v>
      </c>
      <c r="J31" s="52" t="s">
        <v>283</v>
      </c>
      <c r="K31" s="53">
        <v>40370</v>
      </c>
      <c r="L31" s="54">
        <v>3</v>
      </c>
      <c r="M31" s="55"/>
    </row>
    <row r="32" spans="1:14" x14ac:dyDescent="0.25">
      <c r="A32" s="39" t="s">
        <v>304</v>
      </c>
      <c r="B32" s="46" t="s">
        <v>285</v>
      </c>
      <c r="C32" s="39" t="s">
        <v>296</v>
      </c>
      <c r="D32" s="72">
        <v>237359447</v>
      </c>
      <c r="E32" s="73">
        <v>9195882405</v>
      </c>
      <c r="F32" s="39" t="s">
        <v>256</v>
      </c>
      <c r="G32" s="49">
        <v>35302</v>
      </c>
      <c r="H32" s="50" t="str">
        <f t="shared" si="0"/>
        <v>Aug</v>
      </c>
      <c r="I32" s="51">
        <f t="shared" ca="1" si="1"/>
        <v>20</v>
      </c>
      <c r="J32" s="52" t="s">
        <v>257</v>
      </c>
      <c r="K32" s="53">
        <v>88130</v>
      </c>
      <c r="L32" s="54">
        <v>1</v>
      </c>
      <c r="M32" s="55"/>
    </row>
    <row r="33" spans="1:17" x14ac:dyDescent="0.25">
      <c r="A33" s="39" t="s">
        <v>305</v>
      </c>
      <c r="B33" s="46" t="s">
        <v>245</v>
      </c>
      <c r="C33" s="39" t="s">
        <v>296</v>
      </c>
      <c r="D33" s="72">
        <v>963028490</v>
      </c>
      <c r="E33" s="73">
        <v>2524383168</v>
      </c>
      <c r="F33" s="39" t="s">
        <v>256</v>
      </c>
      <c r="G33" s="49">
        <v>34552</v>
      </c>
      <c r="H33" s="50" t="str">
        <f t="shared" si="0"/>
        <v>Aug</v>
      </c>
      <c r="I33" s="51">
        <f t="shared" ca="1" si="1"/>
        <v>22</v>
      </c>
      <c r="J33" s="52" t="s">
        <v>262</v>
      </c>
      <c r="K33" s="53">
        <v>49620</v>
      </c>
      <c r="L33" s="54">
        <v>2</v>
      </c>
      <c r="M33" s="55"/>
    </row>
    <row r="34" spans="1:17" x14ac:dyDescent="0.25">
      <c r="A34" s="39" t="s">
        <v>306</v>
      </c>
      <c r="B34" s="46" t="s">
        <v>285</v>
      </c>
      <c r="C34" s="39" t="s">
        <v>307</v>
      </c>
      <c r="D34" s="72">
        <v>682791418</v>
      </c>
      <c r="E34" s="73">
        <v>9194603155</v>
      </c>
      <c r="F34" s="39" t="s">
        <v>256</v>
      </c>
      <c r="G34" s="49">
        <v>34714</v>
      </c>
      <c r="H34" s="50" t="str">
        <f t="shared" si="0"/>
        <v>Jan</v>
      </c>
      <c r="I34" s="51">
        <f t="shared" ca="1" si="1"/>
        <v>21</v>
      </c>
      <c r="J34" s="52" t="s">
        <v>257</v>
      </c>
      <c r="K34" s="53">
        <v>55460</v>
      </c>
      <c r="L34" s="54">
        <v>3</v>
      </c>
      <c r="M34" s="55"/>
      <c r="N34" s="63"/>
      <c r="O34" s="75"/>
    </row>
    <row r="35" spans="1:17" x14ac:dyDescent="0.25">
      <c r="A35" s="39" t="s">
        <v>308</v>
      </c>
      <c r="B35" s="46" t="s">
        <v>285</v>
      </c>
      <c r="C35" s="39" t="s">
        <v>307</v>
      </c>
      <c r="D35" s="72">
        <v>534034571</v>
      </c>
      <c r="E35" s="73">
        <v>2526169135</v>
      </c>
      <c r="F35" s="39" t="s">
        <v>261</v>
      </c>
      <c r="G35" s="49">
        <v>40418</v>
      </c>
      <c r="H35" s="50" t="str">
        <f t="shared" si="0"/>
        <v>Aug</v>
      </c>
      <c r="I35" s="51">
        <f t="shared" ca="1" si="1"/>
        <v>6</v>
      </c>
      <c r="J35" s="52" t="s">
        <v>267</v>
      </c>
      <c r="K35" s="53">
        <v>55310</v>
      </c>
      <c r="L35" s="54">
        <v>3</v>
      </c>
      <c r="M35" s="55"/>
    </row>
    <row r="36" spans="1:17" x14ac:dyDescent="0.25">
      <c r="A36" s="39" t="s">
        <v>309</v>
      </c>
      <c r="B36" s="46" t="s">
        <v>271</v>
      </c>
      <c r="C36" s="39" t="s">
        <v>307</v>
      </c>
      <c r="D36" s="72">
        <v>601942708</v>
      </c>
      <c r="E36" s="73">
        <v>9198085402</v>
      </c>
      <c r="F36" s="39" t="s">
        <v>261</v>
      </c>
      <c r="G36" s="49">
        <v>41153</v>
      </c>
      <c r="H36" s="50" t="str">
        <f t="shared" si="0"/>
        <v>Sep</v>
      </c>
      <c r="I36" s="51">
        <f t="shared" ca="1" si="1"/>
        <v>4</v>
      </c>
      <c r="J36" s="52" t="s">
        <v>283</v>
      </c>
      <c r="K36" s="53">
        <v>34420</v>
      </c>
      <c r="L36" s="54">
        <v>1</v>
      </c>
      <c r="M36" s="55"/>
    </row>
    <row r="37" spans="1:17" x14ac:dyDescent="0.25">
      <c r="A37" s="39" t="s">
        <v>310</v>
      </c>
      <c r="B37" s="46" t="s">
        <v>280</v>
      </c>
      <c r="C37" s="39" t="s">
        <v>307</v>
      </c>
      <c r="D37" s="72">
        <v>529609767</v>
      </c>
      <c r="E37" s="73">
        <v>2528006736</v>
      </c>
      <c r="F37" s="39" t="s">
        <v>247</v>
      </c>
      <c r="G37" s="49">
        <v>36396</v>
      </c>
      <c r="H37" s="50" t="str">
        <f t="shared" si="0"/>
        <v>Aug</v>
      </c>
      <c r="I37" s="51">
        <f t="shared" ca="1" si="1"/>
        <v>17</v>
      </c>
      <c r="J37" s="52"/>
      <c r="K37" s="53">
        <v>69760</v>
      </c>
      <c r="L37" s="54">
        <v>2</v>
      </c>
      <c r="M37" s="55"/>
      <c r="P37" s="75"/>
      <c r="Q37" s="75"/>
    </row>
    <row r="38" spans="1:17" x14ac:dyDescent="0.25">
      <c r="A38" s="39" t="s">
        <v>311</v>
      </c>
      <c r="B38" s="46" t="s">
        <v>245</v>
      </c>
      <c r="C38" s="39" t="s">
        <v>312</v>
      </c>
      <c r="D38" s="72">
        <v>365117800</v>
      </c>
      <c r="E38" s="73">
        <v>2524125146</v>
      </c>
      <c r="F38" s="39" t="s">
        <v>256</v>
      </c>
      <c r="G38" s="49">
        <v>38961</v>
      </c>
      <c r="H38" s="50" t="str">
        <f t="shared" si="0"/>
        <v>Sep</v>
      </c>
      <c r="I38" s="51">
        <f t="shared" ca="1" si="1"/>
        <v>10</v>
      </c>
      <c r="J38" s="52" t="s">
        <v>257</v>
      </c>
      <c r="K38" s="53">
        <v>80270</v>
      </c>
      <c r="L38" s="54">
        <v>5</v>
      </c>
      <c r="M38" s="55"/>
    </row>
    <row r="39" spans="1:17" x14ac:dyDescent="0.25">
      <c r="A39" s="39" t="s">
        <v>313</v>
      </c>
      <c r="B39" s="46" t="s">
        <v>245</v>
      </c>
      <c r="C39" s="39" t="s">
        <v>312</v>
      </c>
      <c r="D39" s="72">
        <v>580960042</v>
      </c>
      <c r="E39" s="73">
        <v>9197528456</v>
      </c>
      <c r="F39" s="39" t="s">
        <v>247</v>
      </c>
      <c r="G39" s="49">
        <v>40041</v>
      </c>
      <c r="H39" s="50" t="str">
        <f t="shared" si="0"/>
        <v>Aug</v>
      </c>
      <c r="I39" s="51">
        <f t="shared" ca="1" si="1"/>
        <v>7</v>
      </c>
      <c r="J39" s="52"/>
      <c r="K39" s="53">
        <v>74580</v>
      </c>
      <c r="L39" s="54">
        <v>4</v>
      </c>
      <c r="M39" s="55"/>
    </row>
    <row r="40" spans="1:17" x14ac:dyDescent="0.25">
      <c r="A40" s="39" t="s">
        <v>314</v>
      </c>
      <c r="B40" s="46" t="s">
        <v>271</v>
      </c>
      <c r="C40" s="39" t="s">
        <v>312</v>
      </c>
      <c r="D40" s="72">
        <v>981106829</v>
      </c>
      <c r="E40" s="73">
        <v>2526196095</v>
      </c>
      <c r="F40" s="39" t="s">
        <v>247</v>
      </c>
      <c r="G40" s="49">
        <v>36849</v>
      </c>
      <c r="H40" s="50" t="str">
        <f t="shared" si="0"/>
        <v>Nov</v>
      </c>
      <c r="I40" s="51">
        <f t="shared" ca="1" si="1"/>
        <v>15</v>
      </c>
      <c r="J40" s="52"/>
      <c r="K40" s="53">
        <v>102580</v>
      </c>
      <c r="L40" s="54">
        <v>5</v>
      </c>
      <c r="M40" s="55"/>
    </row>
    <row r="41" spans="1:17" x14ac:dyDescent="0.25">
      <c r="A41" s="39" t="s">
        <v>315</v>
      </c>
      <c r="B41" s="46" t="s">
        <v>285</v>
      </c>
      <c r="C41" s="39" t="s">
        <v>312</v>
      </c>
      <c r="D41" s="72">
        <v>260815239</v>
      </c>
      <c r="E41" s="73">
        <v>2523040292</v>
      </c>
      <c r="F41" s="39" t="s">
        <v>252</v>
      </c>
      <c r="G41" s="49">
        <v>34621</v>
      </c>
      <c r="H41" s="50" t="str">
        <f t="shared" si="0"/>
        <v>Oct</v>
      </c>
      <c r="I41" s="51">
        <f t="shared" ca="1" si="1"/>
        <v>22</v>
      </c>
      <c r="J41" s="52"/>
      <c r="K41" s="53">
        <v>17480</v>
      </c>
      <c r="L41" s="54">
        <v>3</v>
      </c>
      <c r="M41" s="55"/>
      <c r="O41" s="75"/>
    </row>
    <row r="42" spans="1:17" x14ac:dyDescent="0.25">
      <c r="A42" s="39" t="s">
        <v>316</v>
      </c>
      <c r="B42" s="46" t="s">
        <v>285</v>
      </c>
      <c r="C42" s="39" t="s">
        <v>312</v>
      </c>
      <c r="D42" s="72">
        <v>334574480</v>
      </c>
      <c r="E42" s="73">
        <v>2525165289</v>
      </c>
      <c r="F42" s="39" t="s">
        <v>256</v>
      </c>
      <c r="G42" s="49">
        <v>37507</v>
      </c>
      <c r="H42" s="50" t="str">
        <f t="shared" si="0"/>
        <v>Sep</v>
      </c>
      <c r="I42" s="51">
        <f t="shared" ca="1" si="1"/>
        <v>14</v>
      </c>
      <c r="J42" s="52" t="s">
        <v>283</v>
      </c>
      <c r="K42" s="53">
        <v>38520</v>
      </c>
      <c r="L42" s="54">
        <v>1</v>
      </c>
      <c r="M42" s="55"/>
      <c r="O42" s="75"/>
    </row>
    <row r="43" spans="1:17" x14ac:dyDescent="0.25">
      <c r="A43" s="39" t="s">
        <v>317</v>
      </c>
      <c r="B43" s="46" t="s">
        <v>280</v>
      </c>
      <c r="C43" s="39" t="s">
        <v>312</v>
      </c>
      <c r="D43" s="72">
        <v>163292583</v>
      </c>
      <c r="E43" s="73">
        <v>2522005810</v>
      </c>
      <c r="F43" s="39" t="s">
        <v>247</v>
      </c>
      <c r="G43" s="49">
        <v>37039</v>
      </c>
      <c r="H43" s="50" t="str">
        <f t="shared" si="0"/>
        <v>May</v>
      </c>
      <c r="I43" s="51">
        <f t="shared" ca="1" si="1"/>
        <v>15</v>
      </c>
      <c r="J43" s="52"/>
      <c r="K43" s="53">
        <v>36410</v>
      </c>
      <c r="L43" s="54">
        <v>3</v>
      </c>
      <c r="M43" s="55"/>
    </row>
    <row r="44" spans="1:17" x14ac:dyDescent="0.25">
      <c r="A44" s="39" t="s">
        <v>318</v>
      </c>
      <c r="B44" s="46" t="s">
        <v>271</v>
      </c>
      <c r="C44" s="39" t="s">
        <v>312</v>
      </c>
      <c r="D44" s="72">
        <v>923665952</v>
      </c>
      <c r="E44" s="73">
        <v>2525295649</v>
      </c>
      <c r="F44" s="39" t="s">
        <v>256</v>
      </c>
      <c r="G44" s="49">
        <v>36087</v>
      </c>
      <c r="H44" s="50" t="str">
        <f t="shared" si="0"/>
        <v>Oct</v>
      </c>
      <c r="I44" s="51">
        <f t="shared" ca="1" si="1"/>
        <v>18</v>
      </c>
      <c r="J44" s="52" t="s">
        <v>267</v>
      </c>
      <c r="K44" s="53">
        <v>92820</v>
      </c>
      <c r="L44" s="54">
        <v>5</v>
      </c>
      <c r="M44" s="55"/>
      <c r="N44" s="63"/>
    </row>
    <row r="45" spans="1:17" x14ac:dyDescent="0.25">
      <c r="A45" s="39" t="s">
        <v>319</v>
      </c>
      <c r="B45" s="46" t="s">
        <v>285</v>
      </c>
      <c r="C45" s="39" t="s">
        <v>312</v>
      </c>
      <c r="D45" s="72">
        <v>905675120</v>
      </c>
      <c r="E45" s="73">
        <v>9192526124</v>
      </c>
      <c r="F45" s="39" t="s">
        <v>256</v>
      </c>
      <c r="G45" s="49">
        <v>36208</v>
      </c>
      <c r="H45" s="50" t="str">
        <f t="shared" si="0"/>
        <v>Feb</v>
      </c>
      <c r="I45" s="51">
        <f t="shared" ca="1" si="1"/>
        <v>17</v>
      </c>
      <c r="J45" s="52" t="s">
        <v>267</v>
      </c>
      <c r="K45" s="53">
        <v>93100</v>
      </c>
      <c r="L45" s="54">
        <v>3</v>
      </c>
      <c r="M45" s="55"/>
    </row>
    <row r="46" spans="1:17" x14ac:dyDescent="0.25">
      <c r="A46" s="39" t="s">
        <v>320</v>
      </c>
      <c r="B46" s="46" t="s">
        <v>271</v>
      </c>
      <c r="C46" s="39" t="s">
        <v>312</v>
      </c>
      <c r="D46" s="72">
        <v>242099349</v>
      </c>
      <c r="E46" s="73">
        <v>2526576057</v>
      </c>
      <c r="F46" s="39" t="s">
        <v>256</v>
      </c>
      <c r="G46" s="49">
        <v>41502</v>
      </c>
      <c r="H46" s="50" t="str">
        <f t="shared" si="0"/>
        <v>Aug</v>
      </c>
      <c r="I46" s="51">
        <f t="shared" ca="1" si="1"/>
        <v>3</v>
      </c>
      <c r="J46" s="52" t="s">
        <v>267</v>
      </c>
      <c r="K46" s="53">
        <v>93380</v>
      </c>
      <c r="L46" s="54">
        <v>3</v>
      </c>
      <c r="M46" s="55"/>
    </row>
    <row r="47" spans="1:17" x14ac:dyDescent="0.25">
      <c r="A47" s="39" t="s">
        <v>321</v>
      </c>
      <c r="B47" s="46" t="s">
        <v>266</v>
      </c>
      <c r="C47" s="39" t="s">
        <v>312</v>
      </c>
      <c r="D47" s="72">
        <v>964243524</v>
      </c>
      <c r="E47" s="73">
        <v>2522339143</v>
      </c>
      <c r="F47" s="39" t="s">
        <v>256</v>
      </c>
      <c r="G47" s="49">
        <v>35997</v>
      </c>
      <c r="H47" s="50" t="str">
        <f t="shared" si="0"/>
        <v>Jul</v>
      </c>
      <c r="I47" s="51">
        <f t="shared" ca="1" si="1"/>
        <v>18</v>
      </c>
      <c r="J47" s="52" t="s">
        <v>257</v>
      </c>
      <c r="K47" s="53">
        <v>81470</v>
      </c>
      <c r="L47" s="54">
        <v>5</v>
      </c>
      <c r="M47" s="55"/>
    </row>
    <row r="48" spans="1:17" x14ac:dyDescent="0.25">
      <c r="A48" s="39" t="s">
        <v>322</v>
      </c>
      <c r="B48" s="46" t="s">
        <v>271</v>
      </c>
      <c r="C48" s="39" t="s">
        <v>312</v>
      </c>
      <c r="D48" s="72">
        <v>436693732</v>
      </c>
      <c r="E48" s="73">
        <v>2524077699</v>
      </c>
      <c r="F48" s="39" t="s">
        <v>256</v>
      </c>
      <c r="G48" s="49">
        <v>38177</v>
      </c>
      <c r="H48" s="50" t="str">
        <f t="shared" si="0"/>
        <v>Jul</v>
      </c>
      <c r="I48" s="51">
        <f t="shared" ca="1" si="1"/>
        <v>12</v>
      </c>
      <c r="J48" s="52" t="s">
        <v>267</v>
      </c>
      <c r="K48" s="53">
        <v>75350</v>
      </c>
      <c r="L48" s="54">
        <v>2</v>
      </c>
      <c r="M48" s="55"/>
    </row>
    <row r="49" spans="1:17" x14ac:dyDescent="0.25">
      <c r="A49" s="39" t="s">
        <v>323</v>
      </c>
      <c r="B49" s="46" t="s">
        <v>271</v>
      </c>
      <c r="C49" s="39" t="s">
        <v>312</v>
      </c>
      <c r="D49" s="72">
        <v>147261161</v>
      </c>
      <c r="E49" s="73">
        <v>9197692593</v>
      </c>
      <c r="F49" s="39" t="s">
        <v>256</v>
      </c>
      <c r="G49" s="49">
        <v>35833</v>
      </c>
      <c r="H49" s="50" t="str">
        <f t="shared" si="0"/>
        <v>Feb</v>
      </c>
      <c r="I49" s="51">
        <f t="shared" ca="1" si="1"/>
        <v>18</v>
      </c>
      <c r="J49" s="52" t="s">
        <v>257</v>
      </c>
      <c r="K49" s="53">
        <v>38290</v>
      </c>
      <c r="L49" s="54">
        <v>5</v>
      </c>
      <c r="M49" s="55"/>
    </row>
    <row r="50" spans="1:17" x14ac:dyDescent="0.25">
      <c r="A50" s="39" t="s">
        <v>324</v>
      </c>
      <c r="B50" s="46" t="s">
        <v>271</v>
      </c>
      <c r="C50" s="39" t="s">
        <v>312</v>
      </c>
      <c r="D50" s="72">
        <v>513140687</v>
      </c>
      <c r="E50" s="73">
        <v>9192163497</v>
      </c>
      <c r="F50" s="39" t="s">
        <v>247</v>
      </c>
      <c r="G50" s="49">
        <v>34229</v>
      </c>
      <c r="H50" s="50" t="str">
        <f t="shared" si="0"/>
        <v>Sep</v>
      </c>
      <c r="I50" s="51">
        <f t="shared" ca="1" si="1"/>
        <v>23</v>
      </c>
      <c r="J50" s="52"/>
      <c r="K50" s="53">
        <v>51530</v>
      </c>
      <c r="L50" s="54">
        <v>1</v>
      </c>
      <c r="M50" s="55"/>
    </row>
    <row r="51" spans="1:17" x14ac:dyDescent="0.25">
      <c r="A51" s="39" t="s">
        <v>325</v>
      </c>
      <c r="B51" s="46" t="s">
        <v>285</v>
      </c>
      <c r="C51" s="39" t="s">
        <v>312</v>
      </c>
      <c r="D51" s="72">
        <v>768215237</v>
      </c>
      <c r="E51" s="73">
        <v>9195993367</v>
      </c>
      <c r="F51" s="39" t="s">
        <v>261</v>
      </c>
      <c r="G51" s="49">
        <v>34473</v>
      </c>
      <c r="H51" s="50" t="str">
        <f t="shared" si="0"/>
        <v>May</v>
      </c>
      <c r="I51" s="51">
        <f t="shared" ca="1" si="1"/>
        <v>22</v>
      </c>
      <c r="J51" s="52" t="s">
        <v>262</v>
      </c>
      <c r="K51" s="53">
        <v>16560</v>
      </c>
      <c r="L51" s="54">
        <v>3</v>
      </c>
      <c r="M51" s="55"/>
    </row>
    <row r="52" spans="1:17" x14ac:dyDescent="0.25">
      <c r="A52" s="39" t="s">
        <v>326</v>
      </c>
      <c r="B52" s="46" t="s">
        <v>280</v>
      </c>
      <c r="C52" s="39" t="s">
        <v>312</v>
      </c>
      <c r="D52" s="72">
        <v>247276092</v>
      </c>
      <c r="E52" s="73">
        <v>2522636516</v>
      </c>
      <c r="F52" s="39" t="s">
        <v>247</v>
      </c>
      <c r="G52" s="49">
        <v>36120</v>
      </c>
      <c r="H52" s="50" t="str">
        <f t="shared" si="0"/>
        <v>Nov</v>
      </c>
      <c r="I52" s="51">
        <f t="shared" ca="1" si="1"/>
        <v>17</v>
      </c>
      <c r="J52" s="52"/>
      <c r="K52" s="53">
        <v>77270</v>
      </c>
      <c r="L52" s="54">
        <v>2</v>
      </c>
      <c r="M52" s="55"/>
      <c r="P52" s="75"/>
      <c r="Q52" s="75"/>
    </row>
    <row r="53" spans="1:17" x14ac:dyDescent="0.25">
      <c r="A53" s="39" t="s">
        <v>327</v>
      </c>
      <c r="B53" s="46" t="s">
        <v>271</v>
      </c>
      <c r="C53" s="39" t="s">
        <v>312</v>
      </c>
      <c r="D53" s="72">
        <v>459522265</v>
      </c>
      <c r="E53" s="73">
        <v>2524633649</v>
      </c>
      <c r="F53" s="39" t="s">
        <v>256</v>
      </c>
      <c r="G53" s="49">
        <v>34576</v>
      </c>
      <c r="H53" s="50" t="str">
        <f t="shared" si="0"/>
        <v>Aug</v>
      </c>
      <c r="I53" s="51">
        <f t="shared" ca="1" si="1"/>
        <v>22</v>
      </c>
      <c r="J53" s="52" t="s">
        <v>262</v>
      </c>
      <c r="K53" s="53">
        <v>73680</v>
      </c>
      <c r="L53" s="54">
        <v>5</v>
      </c>
      <c r="M53" s="55"/>
    </row>
    <row r="54" spans="1:17" x14ac:dyDescent="0.25">
      <c r="A54" s="39" t="s">
        <v>328</v>
      </c>
      <c r="B54" s="46" t="s">
        <v>245</v>
      </c>
      <c r="C54" s="39" t="s">
        <v>312</v>
      </c>
      <c r="D54" s="72">
        <v>339398339</v>
      </c>
      <c r="E54" s="73">
        <v>2527682821</v>
      </c>
      <c r="F54" s="39" t="s">
        <v>256</v>
      </c>
      <c r="G54" s="49">
        <v>36966</v>
      </c>
      <c r="H54" s="50" t="str">
        <f t="shared" si="0"/>
        <v>Mar</v>
      </c>
      <c r="I54" s="76">
        <f t="shared" ca="1" si="1"/>
        <v>15</v>
      </c>
      <c r="J54" s="77" t="s">
        <v>267</v>
      </c>
      <c r="K54" s="53">
        <v>41740</v>
      </c>
      <c r="L54" s="54">
        <v>4</v>
      </c>
      <c r="M54" s="55"/>
    </row>
    <row r="55" spans="1:17" x14ac:dyDescent="0.25">
      <c r="A55" s="39" t="s">
        <v>329</v>
      </c>
      <c r="B55" s="46" t="s">
        <v>285</v>
      </c>
      <c r="C55" s="39" t="s">
        <v>312</v>
      </c>
      <c r="D55" s="72">
        <v>333947685</v>
      </c>
      <c r="E55" s="73">
        <v>9198314799</v>
      </c>
      <c r="F55" s="39" t="s">
        <v>256</v>
      </c>
      <c r="G55" s="49">
        <v>38349</v>
      </c>
      <c r="H55" s="50" t="str">
        <f t="shared" si="0"/>
        <v>Dec</v>
      </c>
      <c r="I55" s="51">
        <f t="shared" ca="1" si="1"/>
        <v>11</v>
      </c>
      <c r="J55" s="52" t="s">
        <v>262</v>
      </c>
      <c r="K55" s="53">
        <v>103060</v>
      </c>
      <c r="L55" s="54">
        <v>3</v>
      </c>
      <c r="M55" s="55"/>
    </row>
    <row r="56" spans="1:17" x14ac:dyDescent="0.25">
      <c r="A56" s="39" t="s">
        <v>330</v>
      </c>
      <c r="B56" s="46" t="s">
        <v>245</v>
      </c>
      <c r="C56" s="39" t="s">
        <v>312</v>
      </c>
      <c r="D56" s="72">
        <v>721173550</v>
      </c>
      <c r="E56" s="73">
        <v>2528356334</v>
      </c>
      <c r="F56" s="39" t="s">
        <v>256</v>
      </c>
      <c r="G56" s="49">
        <v>34787</v>
      </c>
      <c r="H56" s="50" t="str">
        <f t="shared" si="0"/>
        <v>Mar</v>
      </c>
      <c r="I56" s="51">
        <f t="shared" ca="1" si="1"/>
        <v>21</v>
      </c>
      <c r="J56" s="52" t="s">
        <v>257</v>
      </c>
      <c r="K56" s="53">
        <v>85380</v>
      </c>
      <c r="L56" s="54">
        <v>2</v>
      </c>
      <c r="M56" s="55"/>
    </row>
    <row r="57" spans="1:17" x14ac:dyDescent="0.25">
      <c r="A57" s="39" t="s">
        <v>331</v>
      </c>
      <c r="B57" s="46" t="s">
        <v>285</v>
      </c>
      <c r="C57" s="39" t="s">
        <v>312</v>
      </c>
      <c r="D57" s="72">
        <v>252276921</v>
      </c>
      <c r="E57" s="73">
        <v>2525777345</v>
      </c>
      <c r="F57" s="39" t="s">
        <v>256</v>
      </c>
      <c r="G57" s="49">
        <v>38786</v>
      </c>
      <c r="H57" s="50" t="str">
        <f t="shared" si="0"/>
        <v>Mar</v>
      </c>
      <c r="I57" s="51">
        <f t="shared" ca="1" si="1"/>
        <v>10</v>
      </c>
      <c r="J57" s="52" t="s">
        <v>283</v>
      </c>
      <c r="K57" s="53">
        <v>104740</v>
      </c>
      <c r="L57" s="54">
        <v>4</v>
      </c>
      <c r="M57" s="55"/>
      <c r="P57" s="75"/>
      <c r="Q57" s="75"/>
    </row>
    <row r="58" spans="1:17" x14ac:dyDescent="0.25">
      <c r="A58" s="39" t="s">
        <v>332</v>
      </c>
      <c r="B58" s="46" t="s">
        <v>245</v>
      </c>
      <c r="C58" s="39" t="s">
        <v>312</v>
      </c>
      <c r="D58" s="72">
        <v>393393249</v>
      </c>
      <c r="E58" s="73">
        <v>9194980674</v>
      </c>
      <c r="F58" s="39" t="s">
        <v>247</v>
      </c>
      <c r="G58" s="49">
        <v>37471</v>
      </c>
      <c r="H58" s="50" t="str">
        <f t="shared" si="0"/>
        <v>Aug</v>
      </c>
      <c r="I58" s="51">
        <f t="shared" ca="1" si="1"/>
        <v>14</v>
      </c>
      <c r="J58" s="52"/>
      <c r="K58" s="53">
        <v>28270</v>
      </c>
      <c r="L58" s="54">
        <v>3</v>
      </c>
      <c r="M58" s="55"/>
    </row>
    <row r="59" spans="1:17" x14ac:dyDescent="0.25">
      <c r="A59" s="39" t="s">
        <v>333</v>
      </c>
      <c r="B59" s="46" t="s">
        <v>251</v>
      </c>
      <c r="C59" s="39" t="s">
        <v>312</v>
      </c>
      <c r="D59" s="72">
        <v>344090854</v>
      </c>
      <c r="E59" s="73">
        <v>2523542524</v>
      </c>
      <c r="F59" s="39" t="s">
        <v>256</v>
      </c>
      <c r="G59" s="49">
        <v>36198</v>
      </c>
      <c r="H59" s="50" t="str">
        <f t="shared" si="0"/>
        <v>Feb</v>
      </c>
      <c r="I59" s="51">
        <f t="shared" ca="1" si="1"/>
        <v>17</v>
      </c>
      <c r="J59" s="52" t="s">
        <v>276</v>
      </c>
      <c r="K59" s="53">
        <v>98540</v>
      </c>
      <c r="L59" s="54">
        <v>5</v>
      </c>
      <c r="M59" s="55"/>
      <c r="P59" s="75"/>
      <c r="Q59" s="75"/>
    </row>
    <row r="60" spans="1:17" x14ac:dyDescent="0.25">
      <c r="A60" s="39" t="s">
        <v>334</v>
      </c>
      <c r="B60" s="46" t="s">
        <v>245</v>
      </c>
      <c r="C60" s="39" t="s">
        <v>312</v>
      </c>
      <c r="D60" s="72">
        <v>733413074</v>
      </c>
      <c r="E60" s="73">
        <v>9192224790</v>
      </c>
      <c r="F60" s="39" t="s">
        <v>247</v>
      </c>
      <c r="G60" s="49">
        <v>39971</v>
      </c>
      <c r="H60" s="50" t="str">
        <f t="shared" si="0"/>
        <v>Jun</v>
      </c>
      <c r="I60" s="51">
        <f t="shared" ca="1" si="1"/>
        <v>7</v>
      </c>
      <c r="J60" s="52"/>
      <c r="K60" s="53">
        <v>99680</v>
      </c>
      <c r="L60" s="54">
        <v>3</v>
      </c>
      <c r="M60" s="55"/>
    </row>
    <row r="61" spans="1:17" x14ac:dyDescent="0.25">
      <c r="A61" s="39" t="s">
        <v>335</v>
      </c>
      <c r="B61" s="46" t="s">
        <v>285</v>
      </c>
      <c r="C61" s="39" t="s">
        <v>312</v>
      </c>
      <c r="D61" s="72">
        <v>164904130</v>
      </c>
      <c r="E61" s="73">
        <v>2528046670</v>
      </c>
      <c r="F61" s="39" t="s">
        <v>247</v>
      </c>
      <c r="G61" s="49">
        <v>36570</v>
      </c>
      <c r="H61" s="50" t="str">
        <f t="shared" si="0"/>
        <v>Feb</v>
      </c>
      <c r="I61" s="51">
        <f t="shared" ca="1" si="1"/>
        <v>16</v>
      </c>
      <c r="J61" s="52"/>
      <c r="K61" s="53">
        <v>101040</v>
      </c>
      <c r="L61" s="54">
        <v>2</v>
      </c>
      <c r="M61" s="55"/>
      <c r="N61" s="63"/>
      <c r="O61" s="75"/>
    </row>
    <row r="62" spans="1:17" x14ac:dyDescent="0.25">
      <c r="A62" s="39" t="s">
        <v>336</v>
      </c>
      <c r="B62" s="46" t="s">
        <v>271</v>
      </c>
      <c r="C62" s="39" t="s">
        <v>312</v>
      </c>
      <c r="D62" s="72">
        <v>504735443</v>
      </c>
      <c r="E62" s="73">
        <v>9191629556</v>
      </c>
      <c r="F62" s="39" t="s">
        <v>247</v>
      </c>
      <c r="G62" s="49">
        <v>36903</v>
      </c>
      <c r="H62" s="50" t="str">
        <f t="shared" si="0"/>
        <v>Jan</v>
      </c>
      <c r="I62" s="51">
        <f t="shared" ca="1" si="1"/>
        <v>15</v>
      </c>
      <c r="J62" s="52"/>
      <c r="K62" s="53">
        <v>76010</v>
      </c>
      <c r="L62" s="54">
        <v>3</v>
      </c>
      <c r="M62" s="55"/>
    </row>
    <row r="63" spans="1:17" x14ac:dyDescent="0.25">
      <c r="A63" s="39" t="s">
        <v>337</v>
      </c>
      <c r="B63" s="46" t="s">
        <v>271</v>
      </c>
      <c r="C63" s="39" t="s">
        <v>312</v>
      </c>
      <c r="D63" s="72">
        <v>831188207</v>
      </c>
      <c r="E63" s="73">
        <v>9192121334</v>
      </c>
      <c r="F63" s="39" t="s">
        <v>256</v>
      </c>
      <c r="G63" s="49">
        <v>38242</v>
      </c>
      <c r="H63" s="50" t="str">
        <f t="shared" si="0"/>
        <v>Sep</v>
      </c>
      <c r="I63" s="51">
        <f t="shared" ca="1" si="1"/>
        <v>12</v>
      </c>
      <c r="J63" s="52" t="s">
        <v>257</v>
      </c>
      <c r="K63" s="53">
        <v>86340</v>
      </c>
      <c r="L63" s="54">
        <v>5</v>
      </c>
      <c r="M63" s="55"/>
    </row>
    <row r="64" spans="1:17" x14ac:dyDescent="0.25">
      <c r="A64" s="39" t="s">
        <v>338</v>
      </c>
      <c r="B64" s="46" t="s">
        <v>285</v>
      </c>
      <c r="C64" s="39" t="s">
        <v>312</v>
      </c>
      <c r="D64" s="72">
        <v>856215418</v>
      </c>
      <c r="E64" s="73">
        <v>2526168483</v>
      </c>
      <c r="F64" s="39" t="s">
        <v>252</v>
      </c>
      <c r="G64" s="49">
        <v>37603</v>
      </c>
      <c r="H64" s="50" t="str">
        <f t="shared" si="0"/>
        <v>Dec</v>
      </c>
      <c r="I64" s="51">
        <f t="shared" ca="1" si="1"/>
        <v>13</v>
      </c>
      <c r="J64" s="52"/>
      <c r="K64" s="53">
        <v>36100</v>
      </c>
      <c r="L64" s="54">
        <v>3</v>
      </c>
      <c r="M64" s="55"/>
    </row>
    <row r="65" spans="1:15" x14ac:dyDescent="0.25">
      <c r="A65" s="39" t="s">
        <v>339</v>
      </c>
      <c r="B65" s="46" t="s">
        <v>245</v>
      </c>
      <c r="C65" s="39" t="s">
        <v>312</v>
      </c>
      <c r="D65" s="72">
        <v>822974734</v>
      </c>
      <c r="E65" s="73">
        <v>2524924736</v>
      </c>
      <c r="F65" s="39" t="s">
        <v>252</v>
      </c>
      <c r="G65" s="49">
        <v>37488</v>
      </c>
      <c r="H65" s="50" t="str">
        <f t="shared" si="0"/>
        <v>Aug</v>
      </c>
      <c r="I65" s="51">
        <f t="shared" ca="1" si="1"/>
        <v>14</v>
      </c>
      <c r="J65" s="52"/>
      <c r="K65" s="53">
        <v>39670</v>
      </c>
      <c r="L65" s="54">
        <v>5</v>
      </c>
      <c r="M65" s="55"/>
    </row>
    <row r="66" spans="1:15" x14ac:dyDescent="0.25">
      <c r="A66" s="39" t="s">
        <v>340</v>
      </c>
      <c r="B66" s="46" t="s">
        <v>285</v>
      </c>
      <c r="C66" s="39" t="s">
        <v>312</v>
      </c>
      <c r="D66" s="72">
        <v>129397083</v>
      </c>
      <c r="E66" s="73">
        <v>2521391475</v>
      </c>
      <c r="F66" s="39" t="s">
        <v>256</v>
      </c>
      <c r="G66" s="49">
        <v>41597</v>
      </c>
      <c r="H66" s="50" t="str">
        <f t="shared" ref="H66:H129" si="2">CHOOSE(MONTH(G66),"Jan","Feb","Mar","Apr","May","Jun","Jul","Aug","Sep","Oct","Nov","Dec")</f>
        <v>Nov</v>
      </c>
      <c r="I66" s="51">
        <f t="shared" ref="I66:I129" ca="1" si="3">DATEDIF(G66,TODAY(),"Y")</f>
        <v>2</v>
      </c>
      <c r="J66" s="52" t="s">
        <v>267</v>
      </c>
      <c r="K66" s="53">
        <v>82690</v>
      </c>
      <c r="L66" s="54">
        <v>5</v>
      </c>
      <c r="M66" s="55"/>
    </row>
    <row r="67" spans="1:15" x14ac:dyDescent="0.25">
      <c r="A67" s="39" t="s">
        <v>341</v>
      </c>
      <c r="B67" s="46" t="s">
        <v>245</v>
      </c>
      <c r="C67" s="39" t="s">
        <v>312</v>
      </c>
      <c r="D67" s="72">
        <v>126492342</v>
      </c>
      <c r="E67" s="73">
        <v>9196299247</v>
      </c>
      <c r="F67" s="39" t="s">
        <v>252</v>
      </c>
      <c r="G67" s="49">
        <v>37060</v>
      </c>
      <c r="H67" s="50" t="str">
        <f t="shared" si="2"/>
        <v>Jun</v>
      </c>
      <c r="I67" s="51">
        <f t="shared" ca="1" si="3"/>
        <v>15</v>
      </c>
      <c r="J67" s="52"/>
      <c r="K67" s="53">
        <v>22200</v>
      </c>
      <c r="L67" s="54">
        <v>5</v>
      </c>
      <c r="M67" s="55"/>
    </row>
    <row r="68" spans="1:15" x14ac:dyDescent="0.25">
      <c r="A68" s="39" t="s">
        <v>342</v>
      </c>
      <c r="B68" s="46" t="s">
        <v>285</v>
      </c>
      <c r="C68" s="39" t="s">
        <v>312</v>
      </c>
      <c r="D68" s="72">
        <v>653843221</v>
      </c>
      <c r="E68" s="73">
        <v>9197713771</v>
      </c>
      <c r="F68" s="39" t="s">
        <v>247</v>
      </c>
      <c r="G68" s="49">
        <v>40960</v>
      </c>
      <c r="H68" s="50" t="str">
        <f t="shared" si="2"/>
        <v>Feb</v>
      </c>
      <c r="I68" s="51">
        <f t="shared" ca="1" si="3"/>
        <v>4</v>
      </c>
      <c r="J68" s="52"/>
      <c r="K68" s="53">
        <v>95350</v>
      </c>
      <c r="L68" s="54">
        <v>5</v>
      </c>
      <c r="M68" s="55"/>
    </row>
    <row r="69" spans="1:15" x14ac:dyDescent="0.25">
      <c r="A69" s="39" t="s">
        <v>343</v>
      </c>
      <c r="B69" s="46" t="s">
        <v>271</v>
      </c>
      <c r="C69" s="39" t="s">
        <v>312</v>
      </c>
      <c r="D69" s="72">
        <v>631405285</v>
      </c>
      <c r="E69" s="73">
        <v>2527491979</v>
      </c>
      <c r="F69" s="39" t="s">
        <v>256</v>
      </c>
      <c r="G69" s="49">
        <v>34528</v>
      </c>
      <c r="H69" s="50" t="str">
        <f t="shared" si="2"/>
        <v>Jul</v>
      </c>
      <c r="I69" s="51">
        <f t="shared" ca="1" si="3"/>
        <v>22</v>
      </c>
      <c r="J69" s="52" t="s">
        <v>283</v>
      </c>
      <c r="K69" s="53">
        <v>103100</v>
      </c>
      <c r="L69" s="54">
        <v>4</v>
      </c>
      <c r="M69" s="55"/>
    </row>
    <row r="70" spans="1:15" x14ac:dyDescent="0.25">
      <c r="A70" s="39" t="s">
        <v>344</v>
      </c>
      <c r="B70" s="46" t="s">
        <v>271</v>
      </c>
      <c r="C70" s="39" t="s">
        <v>312</v>
      </c>
      <c r="D70" s="72">
        <v>639314672</v>
      </c>
      <c r="E70" s="73">
        <v>9191919478</v>
      </c>
      <c r="F70" s="39" t="s">
        <v>261</v>
      </c>
      <c r="G70" s="49">
        <v>36843</v>
      </c>
      <c r="H70" s="50" t="str">
        <f t="shared" si="2"/>
        <v>Nov</v>
      </c>
      <c r="I70" s="51">
        <f t="shared" ca="1" si="3"/>
        <v>16</v>
      </c>
      <c r="J70" s="52" t="s">
        <v>276</v>
      </c>
      <c r="K70" s="53">
        <v>28060</v>
      </c>
      <c r="L70" s="54">
        <v>4</v>
      </c>
      <c r="M70" s="55"/>
    </row>
    <row r="71" spans="1:15" x14ac:dyDescent="0.25">
      <c r="A71" s="39" t="s">
        <v>345</v>
      </c>
      <c r="B71" s="46" t="s">
        <v>285</v>
      </c>
      <c r="C71" s="39" t="s">
        <v>312</v>
      </c>
      <c r="D71" s="72">
        <v>349979288</v>
      </c>
      <c r="E71" s="73">
        <v>9194629972</v>
      </c>
      <c r="F71" s="39" t="s">
        <v>256</v>
      </c>
      <c r="G71" s="49">
        <v>38019</v>
      </c>
      <c r="H71" s="50" t="str">
        <f t="shared" si="2"/>
        <v>Feb</v>
      </c>
      <c r="I71" s="51">
        <f t="shared" ca="1" si="3"/>
        <v>12</v>
      </c>
      <c r="J71" s="52" t="s">
        <v>283</v>
      </c>
      <c r="K71" s="53">
        <v>34380</v>
      </c>
      <c r="L71" s="54">
        <v>4</v>
      </c>
      <c r="M71" s="55"/>
    </row>
    <row r="72" spans="1:15" x14ac:dyDescent="0.25">
      <c r="A72" s="39" t="s">
        <v>346</v>
      </c>
      <c r="B72" s="46" t="s">
        <v>245</v>
      </c>
      <c r="C72" s="39" t="s">
        <v>312</v>
      </c>
      <c r="D72" s="72">
        <v>936730279</v>
      </c>
      <c r="E72" s="73">
        <v>2528033253</v>
      </c>
      <c r="F72" s="39" t="s">
        <v>261</v>
      </c>
      <c r="G72" s="49">
        <v>36518</v>
      </c>
      <c r="H72" s="50" t="str">
        <f t="shared" si="2"/>
        <v>Dec</v>
      </c>
      <c r="I72" s="51">
        <f t="shared" ca="1" si="3"/>
        <v>16</v>
      </c>
      <c r="J72" s="52" t="s">
        <v>267</v>
      </c>
      <c r="K72" s="53">
        <v>58100</v>
      </c>
      <c r="L72" s="54">
        <v>4</v>
      </c>
      <c r="M72" s="55"/>
    </row>
    <row r="73" spans="1:15" x14ac:dyDescent="0.25">
      <c r="A73" s="39" t="s">
        <v>347</v>
      </c>
      <c r="B73" s="46" t="s">
        <v>245</v>
      </c>
      <c r="C73" s="39" t="s">
        <v>312</v>
      </c>
      <c r="D73" s="72">
        <v>787156286</v>
      </c>
      <c r="E73" s="73">
        <v>2524588703</v>
      </c>
      <c r="F73" s="39" t="s">
        <v>256</v>
      </c>
      <c r="G73" s="49">
        <v>34349</v>
      </c>
      <c r="H73" s="50" t="str">
        <f t="shared" si="2"/>
        <v>Jan</v>
      </c>
      <c r="I73" s="51">
        <f t="shared" ca="1" si="3"/>
        <v>22</v>
      </c>
      <c r="J73" s="52" t="s">
        <v>276</v>
      </c>
      <c r="K73" s="53">
        <v>59770</v>
      </c>
      <c r="L73" s="54">
        <v>2</v>
      </c>
      <c r="M73" s="55"/>
    </row>
    <row r="74" spans="1:15" x14ac:dyDescent="0.25">
      <c r="A74" s="39" t="s">
        <v>348</v>
      </c>
      <c r="B74" s="46" t="s">
        <v>245</v>
      </c>
      <c r="C74" s="39" t="s">
        <v>312</v>
      </c>
      <c r="D74" s="72">
        <v>474999228</v>
      </c>
      <c r="E74" s="73">
        <v>9193848677</v>
      </c>
      <c r="F74" s="39" t="s">
        <v>247</v>
      </c>
      <c r="G74" s="49">
        <v>37088</v>
      </c>
      <c r="H74" s="50" t="str">
        <f t="shared" si="2"/>
        <v>Jul</v>
      </c>
      <c r="I74" s="51">
        <f t="shared" ca="1" si="3"/>
        <v>15</v>
      </c>
      <c r="J74" s="52"/>
      <c r="K74" s="53">
        <v>92320</v>
      </c>
      <c r="L74" s="54">
        <v>1</v>
      </c>
      <c r="M74" s="55"/>
    </row>
    <row r="75" spans="1:15" x14ac:dyDescent="0.25">
      <c r="A75" s="39" t="s">
        <v>349</v>
      </c>
      <c r="B75" s="46" t="s">
        <v>251</v>
      </c>
      <c r="C75" s="39" t="s">
        <v>312</v>
      </c>
      <c r="D75" s="72">
        <v>403504590</v>
      </c>
      <c r="E75" s="73">
        <v>9192400511</v>
      </c>
      <c r="F75" s="39" t="s">
        <v>247</v>
      </c>
      <c r="G75" s="49">
        <v>34679</v>
      </c>
      <c r="H75" s="50" t="str">
        <f t="shared" si="2"/>
        <v>Dec</v>
      </c>
      <c r="I75" s="51">
        <f t="shared" ca="1" si="3"/>
        <v>21</v>
      </c>
      <c r="J75" s="52"/>
      <c r="K75" s="53">
        <v>77350</v>
      </c>
      <c r="L75" s="54">
        <v>1</v>
      </c>
      <c r="M75" s="55"/>
    </row>
    <row r="76" spans="1:15" x14ac:dyDescent="0.25">
      <c r="A76" s="39" t="s">
        <v>350</v>
      </c>
      <c r="B76" s="46" t="s">
        <v>285</v>
      </c>
      <c r="C76" s="39" t="s">
        <v>312</v>
      </c>
      <c r="D76" s="72">
        <v>951516517</v>
      </c>
      <c r="E76" s="73">
        <v>2524936058</v>
      </c>
      <c r="F76" s="39" t="s">
        <v>256</v>
      </c>
      <c r="G76" s="49">
        <v>34896</v>
      </c>
      <c r="H76" s="50" t="str">
        <f t="shared" si="2"/>
        <v>Jul</v>
      </c>
      <c r="I76" s="51">
        <f t="shared" ca="1" si="3"/>
        <v>21</v>
      </c>
      <c r="J76" s="52" t="s">
        <v>283</v>
      </c>
      <c r="K76" s="53">
        <v>86000</v>
      </c>
      <c r="L76" s="54">
        <v>4</v>
      </c>
      <c r="M76" s="55"/>
    </row>
    <row r="77" spans="1:15" x14ac:dyDescent="0.25">
      <c r="A77" s="39" t="s">
        <v>351</v>
      </c>
      <c r="B77" s="46" t="s">
        <v>271</v>
      </c>
      <c r="C77" s="39" t="s">
        <v>312</v>
      </c>
      <c r="D77" s="72">
        <v>873100939</v>
      </c>
      <c r="E77" s="73">
        <v>9191259179</v>
      </c>
      <c r="F77" s="39" t="s">
        <v>256</v>
      </c>
      <c r="G77" s="49">
        <v>41086</v>
      </c>
      <c r="H77" s="50" t="str">
        <f t="shared" si="2"/>
        <v>Jun</v>
      </c>
      <c r="I77" s="51">
        <f t="shared" ca="1" si="3"/>
        <v>4</v>
      </c>
      <c r="J77" s="52" t="s">
        <v>257</v>
      </c>
      <c r="K77" s="53">
        <v>49790</v>
      </c>
      <c r="L77" s="54">
        <v>5</v>
      </c>
      <c r="M77" s="55"/>
    </row>
    <row r="78" spans="1:15" x14ac:dyDescent="0.25">
      <c r="A78" s="39" t="s">
        <v>352</v>
      </c>
      <c r="B78" s="46" t="s">
        <v>285</v>
      </c>
      <c r="C78" s="39" t="s">
        <v>312</v>
      </c>
      <c r="D78" s="72">
        <v>571120098</v>
      </c>
      <c r="E78" s="73">
        <v>2525789252</v>
      </c>
      <c r="F78" s="39" t="s">
        <v>256</v>
      </c>
      <c r="G78" s="49">
        <v>36830</v>
      </c>
      <c r="H78" s="50" t="str">
        <f t="shared" si="2"/>
        <v>Oct</v>
      </c>
      <c r="I78" s="51">
        <f t="shared" ca="1" si="3"/>
        <v>16</v>
      </c>
      <c r="J78" s="52" t="s">
        <v>257</v>
      </c>
      <c r="K78" s="53">
        <v>73240</v>
      </c>
      <c r="L78" s="54">
        <v>3</v>
      </c>
      <c r="M78" s="55"/>
      <c r="N78" s="63"/>
      <c r="O78" s="75"/>
    </row>
    <row r="79" spans="1:15" x14ac:dyDescent="0.25">
      <c r="A79" s="39" t="s">
        <v>353</v>
      </c>
      <c r="B79" s="46" t="s">
        <v>271</v>
      </c>
      <c r="C79" s="39" t="s">
        <v>312</v>
      </c>
      <c r="D79" s="72">
        <v>627678686</v>
      </c>
      <c r="E79" s="73">
        <v>2526101454</v>
      </c>
      <c r="F79" s="39" t="s">
        <v>247</v>
      </c>
      <c r="G79" s="49">
        <v>36506</v>
      </c>
      <c r="H79" s="50" t="str">
        <f t="shared" si="2"/>
        <v>Dec</v>
      </c>
      <c r="I79" s="51">
        <f t="shared" ca="1" si="3"/>
        <v>16</v>
      </c>
      <c r="J79" s="52"/>
      <c r="K79" s="53">
        <v>89690</v>
      </c>
      <c r="L79" s="54">
        <v>5</v>
      </c>
      <c r="M79" s="55"/>
    </row>
    <row r="80" spans="1:15" x14ac:dyDescent="0.25">
      <c r="A80" s="39" t="s">
        <v>354</v>
      </c>
      <c r="B80" s="46" t="s">
        <v>285</v>
      </c>
      <c r="C80" s="39" t="s">
        <v>312</v>
      </c>
      <c r="D80" s="72">
        <v>667812117</v>
      </c>
      <c r="E80" s="73">
        <v>2526396432</v>
      </c>
      <c r="F80" s="39" t="s">
        <v>256</v>
      </c>
      <c r="G80" s="49">
        <v>34747</v>
      </c>
      <c r="H80" s="50" t="str">
        <f t="shared" si="2"/>
        <v>Feb</v>
      </c>
      <c r="I80" s="51">
        <f t="shared" ca="1" si="3"/>
        <v>21</v>
      </c>
      <c r="J80" s="52" t="s">
        <v>262</v>
      </c>
      <c r="K80" s="53">
        <v>38200</v>
      </c>
      <c r="L80" s="54">
        <v>3</v>
      </c>
      <c r="M80" s="55"/>
    </row>
    <row r="81" spans="1:13" x14ac:dyDescent="0.25">
      <c r="A81" s="39" t="s">
        <v>355</v>
      </c>
      <c r="B81" s="46" t="s">
        <v>271</v>
      </c>
      <c r="C81" s="39" t="s">
        <v>312</v>
      </c>
      <c r="D81" s="72">
        <v>148899089</v>
      </c>
      <c r="E81" s="73">
        <v>2524734960</v>
      </c>
      <c r="F81" s="39" t="s">
        <v>261</v>
      </c>
      <c r="G81" s="49">
        <v>35167</v>
      </c>
      <c r="H81" s="50" t="str">
        <f t="shared" si="2"/>
        <v>Apr</v>
      </c>
      <c r="I81" s="51">
        <f t="shared" ca="1" si="3"/>
        <v>20</v>
      </c>
      <c r="J81" s="52" t="s">
        <v>257</v>
      </c>
      <c r="K81" s="53">
        <v>32270</v>
      </c>
      <c r="L81" s="54">
        <v>3</v>
      </c>
      <c r="M81" s="55"/>
    </row>
    <row r="82" spans="1:13" x14ac:dyDescent="0.25">
      <c r="A82" s="39" t="s">
        <v>356</v>
      </c>
      <c r="B82" s="46" t="s">
        <v>285</v>
      </c>
      <c r="C82" s="39" t="s">
        <v>312</v>
      </c>
      <c r="D82" s="72">
        <v>411058865</v>
      </c>
      <c r="E82" s="73">
        <v>2523883919</v>
      </c>
      <c r="F82" s="39" t="s">
        <v>256</v>
      </c>
      <c r="G82" s="49">
        <v>38009</v>
      </c>
      <c r="H82" s="50" t="str">
        <f t="shared" si="2"/>
        <v>Jan</v>
      </c>
      <c r="I82" s="51">
        <f t="shared" ca="1" si="3"/>
        <v>12</v>
      </c>
      <c r="J82" s="52" t="s">
        <v>257</v>
      </c>
      <c r="K82" s="53">
        <v>32620</v>
      </c>
      <c r="L82" s="54">
        <v>4</v>
      </c>
      <c r="M82" s="55"/>
    </row>
    <row r="83" spans="1:13" x14ac:dyDescent="0.25">
      <c r="A83" s="39" t="s">
        <v>357</v>
      </c>
      <c r="B83" s="46" t="s">
        <v>285</v>
      </c>
      <c r="C83" s="39" t="s">
        <v>312</v>
      </c>
      <c r="D83" s="72">
        <v>870106287</v>
      </c>
      <c r="E83" s="73">
        <v>2528611970</v>
      </c>
      <c r="F83" s="39" t="s">
        <v>261</v>
      </c>
      <c r="G83" s="49">
        <v>35549</v>
      </c>
      <c r="H83" s="50" t="str">
        <f t="shared" si="2"/>
        <v>Apr</v>
      </c>
      <c r="I83" s="51">
        <f t="shared" ca="1" si="3"/>
        <v>19</v>
      </c>
      <c r="J83" s="52" t="s">
        <v>276</v>
      </c>
      <c r="K83" s="53">
        <v>46700</v>
      </c>
      <c r="L83" s="54">
        <v>4</v>
      </c>
      <c r="M83" s="55"/>
    </row>
    <row r="84" spans="1:13" x14ac:dyDescent="0.25">
      <c r="A84" s="39" t="s">
        <v>358</v>
      </c>
      <c r="B84" s="46" t="s">
        <v>266</v>
      </c>
      <c r="C84" s="39" t="s">
        <v>312</v>
      </c>
      <c r="D84" s="72">
        <v>867671341</v>
      </c>
      <c r="E84" s="73">
        <v>2528317543</v>
      </c>
      <c r="F84" s="39" t="s">
        <v>261</v>
      </c>
      <c r="G84" s="49">
        <v>37897</v>
      </c>
      <c r="H84" s="50" t="str">
        <f t="shared" si="2"/>
        <v>Oct</v>
      </c>
      <c r="I84" s="51">
        <f t="shared" ca="1" si="3"/>
        <v>13</v>
      </c>
      <c r="J84" s="52" t="s">
        <v>257</v>
      </c>
      <c r="K84" s="53">
        <v>42340</v>
      </c>
      <c r="L84" s="54">
        <v>3</v>
      </c>
      <c r="M84" s="55"/>
    </row>
    <row r="85" spans="1:13" x14ac:dyDescent="0.25">
      <c r="A85" s="39" t="s">
        <v>359</v>
      </c>
      <c r="B85" s="46" t="s">
        <v>245</v>
      </c>
      <c r="C85" s="39" t="s">
        <v>312</v>
      </c>
      <c r="D85" s="72">
        <v>676534152</v>
      </c>
      <c r="E85" s="73">
        <v>9194416232</v>
      </c>
      <c r="F85" s="39" t="s">
        <v>256</v>
      </c>
      <c r="G85" s="49">
        <v>41293</v>
      </c>
      <c r="H85" s="50" t="str">
        <f t="shared" si="2"/>
        <v>Jan</v>
      </c>
      <c r="I85" s="51">
        <f t="shared" ca="1" si="3"/>
        <v>3</v>
      </c>
      <c r="J85" s="52" t="s">
        <v>257</v>
      </c>
      <c r="K85" s="53">
        <v>27940</v>
      </c>
      <c r="L85" s="54">
        <v>1</v>
      </c>
      <c r="M85" s="55"/>
    </row>
    <row r="86" spans="1:13" x14ac:dyDescent="0.25">
      <c r="A86" s="39" t="s">
        <v>360</v>
      </c>
      <c r="B86" s="46" t="s">
        <v>285</v>
      </c>
      <c r="C86" s="39" t="s">
        <v>312</v>
      </c>
      <c r="D86" s="72">
        <v>427811310</v>
      </c>
      <c r="E86" s="73">
        <v>9191362796</v>
      </c>
      <c r="F86" s="39" t="s">
        <v>247</v>
      </c>
      <c r="G86" s="49">
        <v>36256</v>
      </c>
      <c r="H86" s="50" t="str">
        <f t="shared" si="2"/>
        <v>Apr</v>
      </c>
      <c r="I86" s="51">
        <f t="shared" ca="1" si="3"/>
        <v>17</v>
      </c>
      <c r="J86" s="52"/>
      <c r="K86" s="53">
        <v>107170</v>
      </c>
      <c r="L86" s="54">
        <v>5</v>
      </c>
      <c r="M86" s="55"/>
    </row>
    <row r="87" spans="1:13" x14ac:dyDescent="0.25">
      <c r="A87" s="39" t="s">
        <v>361</v>
      </c>
      <c r="B87" s="46" t="s">
        <v>271</v>
      </c>
      <c r="C87" s="39" t="s">
        <v>312</v>
      </c>
      <c r="D87" s="72">
        <v>721169660</v>
      </c>
      <c r="E87" s="73">
        <v>2526711140</v>
      </c>
      <c r="F87" s="39" t="s">
        <v>256</v>
      </c>
      <c r="G87" s="49">
        <v>41275</v>
      </c>
      <c r="H87" s="50" t="str">
        <f t="shared" si="2"/>
        <v>Jan</v>
      </c>
      <c r="I87" s="51">
        <f t="shared" ca="1" si="3"/>
        <v>3</v>
      </c>
      <c r="J87" s="52" t="s">
        <v>262</v>
      </c>
      <c r="K87" s="53">
        <v>46480</v>
      </c>
      <c r="L87" s="54">
        <v>1</v>
      </c>
      <c r="M87" s="55"/>
    </row>
    <row r="88" spans="1:13" x14ac:dyDescent="0.25">
      <c r="A88" s="39" t="s">
        <v>362</v>
      </c>
      <c r="B88" s="46" t="s">
        <v>266</v>
      </c>
      <c r="C88" s="39" t="s">
        <v>312</v>
      </c>
      <c r="D88" s="72">
        <v>600458368</v>
      </c>
      <c r="E88" s="73">
        <v>9197280453</v>
      </c>
      <c r="F88" s="39" t="s">
        <v>261</v>
      </c>
      <c r="G88" s="49">
        <v>40803</v>
      </c>
      <c r="H88" s="50" t="str">
        <f t="shared" si="2"/>
        <v>Sep</v>
      </c>
      <c r="I88" s="51">
        <f t="shared" ca="1" si="3"/>
        <v>5</v>
      </c>
      <c r="J88" s="52" t="s">
        <v>276</v>
      </c>
      <c r="K88" s="53">
        <v>27040</v>
      </c>
      <c r="L88" s="54">
        <v>3</v>
      </c>
      <c r="M88" s="55"/>
    </row>
    <row r="89" spans="1:13" x14ac:dyDescent="0.25">
      <c r="A89" s="39" t="s">
        <v>363</v>
      </c>
      <c r="B89" s="46" t="s">
        <v>280</v>
      </c>
      <c r="C89" s="39" t="s">
        <v>312</v>
      </c>
      <c r="D89" s="72">
        <v>683222853</v>
      </c>
      <c r="E89" s="73">
        <v>9196224056</v>
      </c>
      <c r="F89" s="39" t="s">
        <v>247</v>
      </c>
      <c r="G89" s="49">
        <v>40923</v>
      </c>
      <c r="H89" s="50" t="str">
        <f t="shared" si="2"/>
        <v>Jan</v>
      </c>
      <c r="I89" s="51">
        <f t="shared" ca="1" si="3"/>
        <v>4</v>
      </c>
      <c r="J89" s="52"/>
      <c r="K89" s="53">
        <v>30950</v>
      </c>
      <c r="L89" s="54">
        <v>3</v>
      </c>
      <c r="M89" s="55"/>
    </row>
    <row r="90" spans="1:13" x14ac:dyDescent="0.25">
      <c r="A90" s="39" t="s">
        <v>364</v>
      </c>
      <c r="B90" s="46" t="s">
        <v>266</v>
      </c>
      <c r="C90" s="39" t="s">
        <v>312</v>
      </c>
      <c r="D90" s="72">
        <v>267218084</v>
      </c>
      <c r="E90" s="73">
        <v>9193825834</v>
      </c>
      <c r="F90" s="39" t="s">
        <v>247</v>
      </c>
      <c r="G90" s="49">
        <v>36941</v>
      </c>
      <c r="H90" s="50" t="str">
        <f t="shared" si="2"/>
        <v>Feb</v>
      </c>
      <c r="I90" s="51">
        <f t="shared" ca="1" si="3"/>
        <v>15</v>
      </c>
      <c r="J90" s="52"/>
      <c r="K90" s="53">
        <v>105600</v>
      </c>
      <c r="L90" s="54">
        <v>5</v>
      </c>
      <c r="M90" s="55"/>
    </row>
    <row r="91" spans="1:13" x14ac:dyDescent="0.25">
      <c r="A91" s="39" t="s">
        <v>365</v>
      </c>
      <c r="B91" s="46" t="s">
        <v>251</v>
      </c>
      <c r="C91" s="39" t="s">
        <v>312</v>
      </c>
      <c r="D91" s="72">
        <v>877122222</v>
      </c>
      <c r="E91" s="73">
        <v>9195511103</v>
      </c>
      <c r="F91" s="39" t="s">
        <v>256</v>
      </c>
      <c r="G91" s="49">
        <v>41576</v>
      </c>
      <c r="H91" s="50" t="str">
        <f t="shared" si="2"/>
        <v>Oct</v>
      </c>
      <c r="I91" s="51">
        <f t="shared" ca="1" si="3"/>
        <v>3</v>
      </c>
      <c r="J91" s="52" t="s">
        <v>276</v>
      </c>
      <c r="K91" s="53">
        <v>89650</v>
      </c>
      <c r="L91" s="54">
        <v>2</v>
      </c>
      <c r="M91" s="55"/>
    </row>
    <row r="92" spans="1:13" x14ac:dyDescent="0.25">
      <c r="A92" s="39" t="s">
        <v>366</v>
      </c>
      <c r="B92" s="46" t="s">
        <v>245</v>
      </c>
      <c r="C92" s="39" t="s">
        <v>312</v>
      </c>
      <c r="D92" s="72">
        <v>841913875</v>
      </c>
      <c r="E92" s="73">
        <v>2522511732</v>
      </c>
      <c r="F92" s="39" t="s">
        <v>247</v>
      </c>
      <c r="G92" s="49">
        <v>36161</v>
      </c>
      <c r="H92" s="50" t="str">
        <f t="shared" si="2"/>
        <v>Jan</v>
      </c>
      <c r="I92" s="51">
        <f t="shared" ca="1" si="3"/>
        <v>17</v>
      </c>
      <c r="J92" s="52"/>
      <c r="K92" s="53">
        <v>60660</v>
      </c>
      <c r="L92" s="54">
        <v>2</v>
      </c>
      <c r="M92" s="55"/>
    </row>
    <row r="93" spans="1:13" x14ac:dyDescent="0.25">
      <c r="A93" s="39" t="s">
        <v>367</v>
      </c>
      <c r="B93" s="46" t="s">
        <v>245</v>
      </c>
      <c r="C93" s="39" t="s">
        <v>312</v>
      </c>
      <c r="D93" s="72">
        <v>648911225</v>
      </c>
      <c r="E93" s="73">
        <v>2525829090</v>
      </c>
      <c r="F93" s="39" t="s">
        <v>247</v>
      </c>
      <c r="G93" s="49">
        <v>34982</v>
      </c>
      <c r="H93" s="50" t="str">
        <f t="shared" si="2"/>
        <v>Oct</v>
      </c>
      <c r="I93" s="51">
        <f t="shared" ca="1" si="3"/>
        <v>21</v>
      </c>
      <c r="J93" s="52"/>
      <c r="K93" s="53">
        <v>99620</v>
      </c>
      <c r="L93" s="54">
        <v>4</v>
      </c>
      <c r="M93" s="55"/>
    </row>
    <row r="94" spans="1:13" x14ac:dyDescent="0.25">
      <c r="A94" s="39" t="s">
        <v>368</v>
      </c>
      <c r="B94" s="46" t="s">
        <v>285</v>
      </c>
      <c r="C94" s="39" t="s">
        <v>312</v>
      </c>
      <c r="D94" s="72">
        <v>496260023</v>
      </c>
      <c r="E94" s="73">
        <v>2523962015</v>
      </c>
      <c r="F94" s="39" t="s">
        <v>256</v>
      </c>
      <c r="G94" s="49">
        <v>35475</v>
      </c>
      <c r="H94" s="50" t="str">
        <f t="shared" si="2"/>
        <v>Feb</v>
      </c>
      <c r="I94" s="51">
        <f t="shared" ca="1" si="3"/>
        <v>19</v>
      </c>
      <c r="J94" s="52" t="s">
        <v>262</v>
      </c>
      <c r="K94" s="53">
        <v>89600</v>
      </c>
      <c r="L94" s="54">
        <v>5</v>
      </c>
      <c r="M94" s="55"/>
    </row>
    <row r="95" spans="1:13" x14ac:dyDescent="0.25">
      <c r="A95" s="39" t="s">
        <v>369</v>
      </c>
      <c r="B95" s="46" t="s">
        <v>245</v>
      </c>
      <c r="C95" s="39" t="s">
        <v>312</v>
      </c>
      <c r="D95" s="72">
        <v>415228597</v>
      </c>
      <c r="E95" s="73">
        <v>9196252690</v>
      </c>
      <c r="F95" s="39" t="s">
        <v>256</v>
      </c>
      <c r="G95" s="49">
        <v>36668</v>
      </c>
      <c r="H95" s="50" t="str">
        <f t="shared" si="2"/>
        <v>May</v>
      </c>
      <c r="I95" s="51">
        <f t="shared" ca="1" si="3"/>
        <v>16</v>
      </c>
      <c r="J95" s="52" t="s">
        <v>257</v>
      </c>
      <c r="K95" s="53">
        <v>49100</v>
      </c>
      <c r="L95" s="54">
        <v>4</v>
      </c>
      <c r="M95" s="55"/>
    </row>
    <row r="96" spans="1:13" x14ac:dyDescent="0.25">
      <c r="A96" s="39" t="s">
        <v>370</v>
      </c>
      <c r="B96" s="46" t="s">
        <v>285</v>
      </c>
      <c r="C96" s="39" t="s">
        <v>312</v>
      </c>
      <c r="D96" s="72">
        <v>644862142</v>
      </c>
      <c r="E96" s="73">
        <v>9193274978</v>
      </c>
      <c r="F96" s="39" t="s">
        <v>247</v>
      </c>
      <c r="G96" s="49">
        <v>35652</v>
      </c>
      <c r="H96" s="50" t="str">
        <f t="shared" si="2"/>
        <v>Aug</v>
      </c>
      <c r="I96" s="51">
        <f t="shared" ca="1" si="3"/>
        <v>19</v>
      </c>
      <c r="J96" s="52"/>
      <c r="K96" s="53">
        <v>56000</v>
      </c>
      <c r="L96" s="54">
        <v>3</v>
      </c>
      <c r="M96" s="55"/>
    </row>
    <row r="97" spans="1:15" x14ac:dyDescent="0.25">
      <c r="A97" s="39" t="s">
        <v>371</v>
      </c>
      <c r="B97" s="46" t="s">
        <v>251</v>
      </c>
      <c r="C97" s="39" t="s">
        <v>372</v>
      </c>
      <c r="D97" s="72">
        <v>640301378</v>
      </c>
      <c r="E97" s="73">
        <v>2524663056</v>
      </c>
      <c r="F97" s="39" t="s">
        <v>261</v>
      </c>
      <c r="G97" s="49">
        <v>41506</v>
      </c>
      <c r="H97" s="50" t="str">
        <f t="shared" si="2"/>
        <v>Aug</v>
      </c>
      <c r="I97" s="51">
        <f t="shared" ca="1" si="3"/>
        <v>3</v>
      </c>
      <c r="J97" s="52" t="s">
        <v>283</v>
      </c>
      <c r="K97" s="53">
        <v>55480</v>
      </c>
      <c r="L97" s="54">
        <v>2</v>
      </c>
      <c r="M97" s="55"/>
      <c r="O97" s="75"/>
    </row>
    <row r="98" spans="1:15" x14ac:dyDescent="0.25">
      <c r="A98" s="39" t="s">
        <v>373</v>
      </c>
      <c r="B98" s="46" t="s">
        <v>271</v>
      </c>
      <c r="C98" s="39" t="s">
        <v>372</v>
      </c>
      <c r="D98" s="72">
        <v>759350847</v>
      </c>
      <c r="E98" s="73">
        <v>2527474942</v>
      </c>
      <c r="F98" s="39" t="s">
        <v>256</v>
      </c>
      <c r="G98" s="49">
        <v>39398</v>
      </c>
      <c r="H98" s="50" t="str">
        <f t="shared" si="2"/>
        <v>Nov</v>
      </c>
      <c r="I98" s="51">
        <f t="shared" ca="1" si="3"/>
        <v>9</v>
      </c>
      <c r="J98" s="52" t="s">
        <v>257</v>
      </c>
      <c r="K98" s="53">
        <v>43960</v>
      </c>
      <c r="L98" s="54">
        <v>4</v>
      </c>
      <c r="M98" s="55"/>
    </row>
    <row r="99" spans="1:15" x14ac:dyDescent="0.25">
      <c r="A99" s="39" t="s">
        <v>374</v>
      </c>
      <c r="B99" s="46" t="s">
        <v>285</v>
      </c>
      <c r="C99" s="39" t="s">
        <v>372</v>
      </c>
      <c r="D99" s="72">
        <v>920505896</v>
      </c>
      <c r="E99" s="73">
        <v>2523173691</v>
      </c>
      <c r="F99" s="39" t="s">
        <v>247</v>
      </c>
      <c r="G99" s="49">
        <v>39756</v>
      </c>
      <c r="H99" s="50" t="str">
        <f t="shared" si="2"/>
        <v>Nov</v>
      </c>
      <c r="I99" s="51">
        <f t="shared" ca="1" si="3"/>
        <v>8</v>
      </c>
      <c r="J99" s="52"/>
      <c r="K99" s="53">
        <v>94630</v>
      </c>
      <c r="L99" s="54">
        <v>2</v>
      </c>
      <c r="M99" s="55"/>
    </row>
    <row r="100" spans="1:15" x14ac:dyDescent="0.25">
      <c r="A100" s="39" t="s">
        <v>375</v>
      </c>
      <c r="B100" s="46" t="s">
        <v>285</v>
      </c>
      <c r="C100" s="39" t="s">
        <v>372</v>
      </c>
      <c r="D100" s="72">
        <v>272036635</v>
      </c>
      <c r="E100" s="73">
        <v>2521656242</v>
      </c>
      <c r="F100" s="39" t="s">
        <v>256</v>
      </c>
      <c r="G100" s="49">
        <v>38884</v>
      </c>
      <c r="H100" s="50" t="str">
        <f t="shared" si="2"/>
        <v>Jun</v>
      </c>
      <c r="I100" s="51">
        <f t="shared" ca="1" si="3"/>
        <v>10</v>
      </c>
      <c r="J100" s="52" t="s">
        <v>257</v>
      </c>
      <c r="K100" s="53">
        <v>103840</v>
      </c>
      <c r="L100" s="54">
        <v>1</v>
      </c>
      <c r="M100" s="55"/>
    </row>
    <row r="101" spans="1:15" x14ac:dyDescent="0.25">
      <c r="A101" s="39" t="s">
        <v>376</v>
      </c>
      <c r="B101" s="46" t="s">
        <v>285</v>
      </c>
      <c r="C101" s="39" t="s">
        <v>372</v>
      </c>
      <c r="D101" s="72">
        <v>207506781</v>
      </c>
      <c r="E101" s="73">
        <v>9194125294</v>
      </c>
      <c r="F101" s="39" t="s">
        <v>256</v>
      </c>
      <c r="G101" s="49">
        <v>40924</v>
      </c>
      <c r="H101" s="50" t="str">
        <f t="shared" si="2"/>
        <v>Jan</v>
      </c>
      <c r="I101" s="51">
        <f t="shared" ca="1" si="3"/>
        <v>4</v>
      </c>
      <c r="J101" s="52" t="s">
        <v>257</v>
      </c>
      <c r="K101" s="53">
        <v>91730</v>
      </c>
      <c r="L101" s="54">
        <v>3</v>
      </c>
      <c r="M101" s="55"/>
    </row>
    <row r="102" spans="1:15" x14ac:dyDescent="0.25">
      <c r="A102" s="39" t="s">
        <v>377</v>
      </c>
      <c r="B102" s="46" t="s">
        <v>271</v>
      </c>
      <c r="C102" s="39" t="s">
        <v>372</v>
      </c>
      <c r="D102" s="72">
        <v>106966222</v>
      </c>
      <c r="E102" s="73">
        <v>9198310129</v>
      </c>
      <c r="F102" s="39" t="s">
        <v>247</v>
      </c>
      <c r="G102" s="49">
        <v>40530</v>
      </c>
      <c r="H102" s="50" t="str">
        <f t="shared" si="2"/>
        <v>Dec</v>
      </c>
      <c r="I102" s="51">
        <f t="shared" ca="1" si="3"/>
        <v>5</v>
      </c>
      <c r="J102" s="52"/>
      <c r="K102" s="53">
        <v>42740</v>
      </c>
      <c r="L102" s="54">
        <v>4</v>
      </c>
      <c r="M102" s="55"/>
    </row>
    <row r="103" spans="1:15" x14ac:dyDescent="0.25">
      <c r="A103" s="39" t="s">
        <v>378</v>
      </c>
      <c r="B103" s="46" t="s">
        <v>285</v>
      </c>
      <c r="C103" s="39" t="s">
        <v>372</v>
      </c>
      <c r="D103" s="72">
        <v>495042805</v>
      </c>
      <c r="E103" s="73">
        <v>9197146686</v>
      </c>
      <c r="F103" s="39" t="s">
        <v>247</v>
      </c>
      <c r="G103" s="49">
        <v>41254</v>
      </c>
      <c r="H103" s="50" t="str">
        <f t="shared" si="2"/>
        <v>Dec</v>
      </c>
      <c r="I103" s="51">
        <f t="shared" ca="1" si="3"/>
        <v>3</v>
      </c>
      <c r="J103" s="52"/>
      <c r="K103" s="53">
        <v>71220</v>
      </c>
      <c r="L103" s="54">
        <v>5</v>
      </c>
      <c r="M103" s="55"/>
    </row>
    <row r="104" spans="1:15" x14ac:dyDescent="0.25">
      <c r="A104" s="39" t="s">
        <v>379</v>
      </c>
      <c r="B104" s="46" t="s">
        <v>280</v>
      </c>
      <c r="C104" s="39" t="s">
        <v>372</v>
      </c>
      <c r="D104" s="72">
        <v>676831149</v>
      </c>
      <c r="E104" s="73">
        <v>9192824485</v>
      </c>
      <c r="F104" s="39" t="s">
        <v>256</v>
      </c>
      <c r="G104" s="49">
        <v>40389</v>
      </c>
      <c r="H104" s="50" t="str">
        <f t="shared" si="2"/>
        <v>Jul</v>
      </c>
      <c r="I104" s="51">
        <f t="shared" ca="1" si="3"/>
        <v>6</v>
      </c>
      <c r="J104" s="52" t="s">
        <v>257</v>
      </c>
      <c r="K104" s="53">
        <v>85340</v>
      </c>
      <c r="L104" s="54">
        <v>4</v>
      </c>
      <c r="M104" s="55"/>
    </row>
    <row r="105" spans="1:15" x14ac:dyDescent="0.25">
      <c r="A105" s="39" t="s">
        <v>380</v>
      </c>
      <c r="B105" s="46" t="s">
        <v>285</v>
      </c>
      <c r="C105" s="39" t="s">
        <v>381</v>
      </c>
      <c r="D105" s="72">
        <v>124203063</v>
      </c>
      <c r="E105" s="73">
        <v>9192229885</v>
      </c>
      <c r="F105" s="39" t="s">
        <v>261</v>
      </c>
      <c r="G105" s="49">
        <v>41573</v>
      </c>
      <c r="H105" s="50" t="str">
        <f t="shared" si="2"/>
        <v>Oct</v>
      </c>
      <c r="I105" s="51">
        <f t="shared" ca="1" si="3"/>
        <v>3</v>
      </c>
      <c r="J105" s="52" t="s">
        <v>283</v>
      </c>
      <c r="K105" s="53">
        <v>12620</v>
      </c>
      <c r="L105" s="54">
        <v>4</v>
      </c>
      <c r="M105" s="55"/>
      <c r="O105" s="75"/>
    </row>
    <row r="106" spans="1:15" x14ac:dyDescent="0.25">
      <c r="A106" s="39" t="s">
        <v>382</v>
      </c>
      <c r="B106" s="46" t="s">
        <v>271</v>
      </c>
      <c r="C106" s="39" t="s">
        <v>381</v>
      </c>
      <c r="D106" s="72">
        <v>925049144</v>
      </c>
      <c r="E106" s="73">
        <v>2524752921</v>
      </c>
      <c r="F106" s="39" t="s">
        <v>256</v>
      </c>
      <c r="G106" s="49">
        <v>37250</v>
      </c>
      <c r="H106" s="50" t="str">
        <f t="shared" si="2"/>
        <v>Dec</v>
      </c>
      <c r="I106" s="51">
        <f t="shared" ca="1" si="3"/>
        <v>14</v>
      </c>
      <c r="J106" s="52" t="s">
        <v>257</v>
      </c>
      <c r="K106" s="53">
        <v>59830</v>
      </c>
      <c r="L106" s="54">
        <v>2</v>
      </c>
      <c r="M106" s="55"/>
    </row>
    <row r="107" spans="1:15" x14ac:dyDescent="0.25">
      <c r="A107" s="39" t="s">
        <v>383</v>
      </c>
      <c r="B107" s="46" t="s">
        <v>280</v>
      </c>
      <c r="C107" s="39" t="s">
        <v>381</v>
      </c>
      <c r="D107" s="72">
        <v>313651312</v>
      </c>
      <c r="E107" s="73">
        <v>2526092172</v>
      </c>
      <c r="F107" s="39" t="s">
        <v>256</v>
      </c>
      <c r="G107" s="49">
        <v>37183</v>
      </c>
      <c r="H107" s="50" t="str">
        <f t="shared" si="2"/>
        <v>Oct</v>
      </c>
      <c r="I107" s="51">
        <f t="shared" ca="1" si="3"/>
        <v>15</v>
      </c>
      <c r="J107" s="52" t="s">
        <v>283</v>
      </c>
      <c r="K107" s="53">
        <v>81960</v>
      </c>
      <c r="L107" s="54">
        <v>5</v>
      </c>
      <c r="M107" s="55"/>
    </row>
    <row r="108" spans="1:15" x14ac:dyDescent="0.25">
      <c r="A108" s="39" t="s">
        <v>384</v>
      </c>
      <c r="B108" s="46" t="s">
        <v>271</v>
      </c>
      <c r="C108" s="39" t="s">
        <v>381</v>
      </c>
      <c r="D108" s="72">
        <v>324622113</v>
      </c>
      <c r="E108" s="73">
        <v>9198824849</v>
      </c>
      <c r="F108" s="39" t="s">
        <v>261</v>
      </c>
      <c r="G108" s="49">
        <v>41517</v>
      </c>
      <c r="H108" s="50" t="str">
        <f t="shared" si="2"/>
        <v>Aug</v>
      </c>
      <c r="I108" s="51">
        <f t="shared" ca="1" si="3"/>
        <v>3</v>
      </c>
      <c r="J108" s="52" t="s">
        <v>283</v>
      </c>
      <c r="K108" s="53">
        <v>34350</v>
      </c>
      <c r="L108" s="54">
        <v>1</v>
      </c>
      <c r="M108" s="55"/>
      <c r="O108" s="75"/>
    </row>
    <row r="109" spans="1:15" x14ac:dyDescent="0.25">
      <c r="A109" s="39" t="s">
        <v>385</v>
      </c>
      <c r="B109" s="46" t="s">
        <v>271</v>
      </c>
      <c r="C109" s="39" t="s">
        <v>381</v>
      </c>
      <c r="D109" s="72">
        <v>651995963</v>
      </c>
      <c r="E109" s="73">
        <v>9194944945</v>
      </c>
      <c r="F109" s="39" t="s">
        <v>252</v>
      </c>
      <c r="G109" s="49">
        <v>41314</v>
      </c>
      <c r="H109" s="50" t="str">
        <f t="shared" si="2"/>
        <v>Feb</v>
      </c>
      <c r="I109" s="51">
        <f t="shared" ca="1" si="3"/>
        <v>3</v>
      </c>
      <c r="J109" s="52"/>
      <c r="K109" s="53">
        <v>32980</v>
      </c>
      <c r="L109" s="54">
        <v>4</v>
      </c>
      <c r="M109" s="55"/>
      <c r="O109" s="75"/>
    </row>
    <row r="110" spans="1:15" x14ac:dyDescent="0.25">
      <c r="A110" s="39" t="s">
        <v>386</v>
      </c>
      <c r="B110" s="46" t="s">
        <v>266</v>
      </c>
      <c r="C110" s="39" t="s">
        <v>381</v>
      </c>
      <c r="D110" s="72">
        <v>452692136</v>
      </c>
      <c r="E110" s="73">
        <v>2524106437</v>
      </c>
      <c r="F110" s="39" t="s">
        <v>256</v>
      </c>
      <c r="G110" s="49">
        <v>36515</v>
      </c>
      <c r="H110" s="50" t="str">
        <f t="shared" si="2"/>
        <v>Dec</v>
      </c>
      <c r="I110" s="51">
        <f t="shared" ca="1" si="3"/>
        <v>16</v>
      </c>
      <c r="J110" s="52" t="s">
        <v>267</v>
      </c>
      <c r="K110" s="53">
        <v>31810</v>
      </c>
      <c r="L110" s="54">
        <v>1</v>
      </c>
      <c r="M110" s="55"/>
    </row>
    <row r="111" spans="1:15" x14ac:dyDescent="0.25">
      <c r="A111" s="39" t="s">
        <v>387</v>
      </c>
      <c r="B111" s="46" t="s">
        <v>285</v>
      </c>
      <c r="C111" s="39" t="s">
        <v>381</v>
      </c>
      <c r="D111" s="72">
        <v>510190628</v>
      </c>
      <c r="E111" s="73">
        <v>2527405629</v>
      </c>
      <c r="F111" s="39" t="s">
        <v>256</v>
      </c>
      <c r="G111" s="49">
        <v>40148</v>
      </c>
      <c r="H111" s="50" t="str">
        <f t="shared" si="2"/>
        <v>Dec</v>
      </c>
      <c r="I111" s="51">
        <f t="shared" ca="1" si="3"/>
        <v>6</v>
      </c>
      <c r="J111" s="52" t="s">
        <v>283</v>
      </c>
      <c r="K111" s="53">
        <v>52420</v>
      </c>
      <c r="L111" s="54">
        <v>5</v>
      </c>
      <c r="M111" s="55"/>
    </row>
    <row r="112" spans="1:15" x14ac:dyDescent="0.25">
      <c r="A112" s="39" t="s">
        <v>388</v>
      </c>
      <c r="B112" s="46" t="s">
        <v>285</v>
      </c>
      <c r="C112" s="39" t="s">
        <v>381</v>
      </c>
      <c r="D112" s="72">
        <v>405297884</v>
      </c>
      <c r="E112" s="73">
        <v>2524747044</v>
      </c>
      <c r="F112" s="39" t="s">
        <v>256</v>
      </c>
      <c r="G112" s="49">
        <v>34072</v>
      </c>
      <c r="H112" s="50" t="str">
        <f t="shared" si="2"/>
        <v>Apr</v>
      </c>
      <c r="I112" s="51">
        <f t="shared" ca="1" si="3"/>
        <v>23</v>
      </c>
      <c r="J112" s="52" t="s">
        <v>283</v>
      </c>
      <c r="K112" s="53">
        <v>82870</v>
      </c>
      <c r="L112" s="54">
        <v>1</v>
      </c>
      <c r="M112" s="55"/>
    </row>
    <row r="113" spans="1:15" x14ac:dyDescent="0.25">
      <c r="A113" s="39" t="s">
        <v>389</v>
      </c>
      <c r="B113" s="46" t="s">
        <v>271</v>
      </c>
      <c r="C113" s="39" t="s">
        <v>381</v>
      </c>
      <c r="D113" s="72">
        <v>943671719</v>
      </c>
      <c r="E113" s="73">
        <v>9193517837</v>
      </c>
      <c r="F113" s="39" t="s">
        <v>256</v>
      </c>
      <c r="G113" s="49">
        <v>36450</v>
      </c>
      <c r="H113" s="50" t="str">
        <f t="shared" si="2"/>
        <v>Oct</v>
      </c>
      <c r="I113" s="51">
        <f t="shared" ca="1" si="3"/>
        <v>17</v>
      </c>
      <c r="J113" s="52" t="s">
        <v>283</v>
      </c>
      <c r="K113" s="53">
        <v>27500</v>
      </c>
      <c r="L113" s="54">
        <v>3</v>
      </c>
      <c r="M113" s="55"/>
    </row>
    <row r="114" spans="1:15" x14ac:dyDescent="0.25">
      <c r="A114" s="39" t="s">
        <v>390</v>
      </c>
      <c r="B114" s="46" t="s">
        <v>271</v>
      </c>
      <c r="C114" s="39" t="s">
        <v>391</v>
      </c>
      <c r="D114" s="72">
        <v>690374765</v>
      </c>
      <c r="E114" s="73">
        <v>2525786813</v>
      </c>
      <c r="F114" s="39" t="s">
        <v>256</v>
      </c>
      <c r="G114" s="49">
        <v>34614</v>
      </c>
      <c r="H114" s="50" t="str">
        <f t="shared" si="2"/>
        <v>Oct</v>
      </c>
      <c r="I114" s="51">
        <f t="shared" ca="1" si="3"/>
        <v>22</v>
      </c>
      <c r="J114" s="52" t="s">
        <v>267</v>
      </c>
      <c r="K114" s="53">
        <v>99000</v>
      </c>
      <c r="L114" s="54">
        <v>5</v>
      </c>
      <c r="M114" s="55"/>
    </row>
    <row r="115" spans="1:15" x14ac:dyDescent="0.25">
      <c r="A115" s="39" t="s">
        <v>392</v>
      </c>
      <c r="B115" s="46" t="s">
        <v>251</v>
      </c>
      <c r="C115" s="39" t="s">
        <v>391</v>
      </c>
      <c r="D115" s="72">
        <v>938508346</v>
      </c>
      <c r="E115" s="78">
        <v>2526738901</v>
      </c>
      <c r="F115" s="39" t="s">
        <v>247</v>
      </c>
      <c r="G115" s="49">
        <v>34246</v>
      </c>
      <c r="H115" s="50" t="str">
        <f t="shared" si="2"/>
        <v>Oct</v>
      </c>
      <c r="I115" s="51">
        <f t="shared" ca="1" si="3"/>
        <v>23</v>
      </c>
      <c r="J115" s="52"/>
      <c r="K115" s="53">
        <v>96060</v>
      </c>
      <c r="L115" s="54">
        <v>2</v>
      </c>
      <c r="M115" s="55"/>
    </row>
    <row r="116" spans="1:15" x14ac:dyDescent="0.25">
      <c r="A116" s="39" t="s">
        <v>393</v>
      </c>
      <c r="B116" s="46" t="s">
        <v>266</v>
      </c>
      <c r="C116" s="39" t="s">
        <v>391</v>
      </c>
      <c r="D116" s="72">
        <v>707882019</v>
      </c>
      <c r="E116" s="73">
        <v>2523373445</v>
      </c>
      <c r="F116" s="39" t="s">
        <v>247</v>
      </c>
      <c r="G116" s="49">
        <v>37343</v>
      </c>
      <c r="H116" s="50" t="str">
        <f t="shared" si="2"/>
        <v>Mar</v>
      </c>
      <c r="I116" s="51">
        <f t="shared" ca="1" si="3"/>
        <v>14</v>
      </c>
      <c r="J116" s="52"/>
      <c r="K116" s="53">
        <v>104360</v>
      </c>
      <c r="L116" s="54">
        <v>4</v>
      </c>
      <c r="M116" s="55"/>
    </row>
    <row r="117" spans="1:15" x14ac:dyDescent="0.25">
      <c r="A117" s="39" t="s">
        <v>394</v>
      </c>
      <c r="B117" s="46" t="s">
        <v>280</v>
      </c>
      <c r="C117" s="39" t="s">
        <v>391</v>
      </c>
      <c r="D117" s="72">
        <v>581823751</v>
      </c>
      <c r="E117" s="73">
        <v>2528577225</v>
      </c>
      <c r="F117" s="39" t="s">
        <v>247</v>
      </c>
      <c r="G117" s="49">
        <v>38668</v>
      </c>
      <c r="H117" s="50" t="str">
        <f t="shared" si="2"/>
        <v>Nov</v>
      </c>
      <c r="I117" s="51">
        <f t="shared" ca="1" si="3"/>
        <v>11</v>
      </c>
      <c r="J117" s="52"/>
      <c r="K117" s="53">
        <v>88070</v>
      </c>
      <c r="L117" s="54">
        <v>2</v>
      </c>
      <c r="M117" s="55"/>
    </row>
    <row r="118" spans="1:15" x14ac:dyDescent="0.25">
      <c r="A118" s="39" t="s">
        <v>395</v>
      </c>
      <c r="B118" s="46" t="s">
        <v>271</v>
      </c>
      <c r="C118" s="39" t="s">
        <v>391</v>
      </c>
      <c r="D118" s="72">
        <v>197789466</v>
      </c>
      <c r="E118" s="73">
        <v>9191472895</v>
      </c>
      <c r="F118" s="39" t="s">
        <v>247</v>
      </c>
      <c r="G118" s="49">
        <v>36738</v>
      </c>
      <c r="H118" s="50" t="str">
        <f t="shared" si="2"/>
        <v>Jul</v>
      </c>
      <c r="I118" s="51">
        <f t="shared" ca="1" si="3"/>
        <v>16</v>
      </c>
      <c r="J118" s="52"/>
      <c r="K118" s="53">
        <v>91220</v>
      </c>
      <c r="L118" s="54">
        <v>1</v>
      </c>
      <c r="M118" s="55"/>
    </row>
    <row r="119" spans="1:15" x14ac:dyDescent="0.25">
      <c r="A119" s="39" t="s">
        <v>396</v>
      </c>
      <c r="B119" s="46" t="s">
        <v>266</v>
      </c>
      <c r="C119" s="39" t="s">
        <v>391</v>
      </c>
      <c r="D119" s="72">
        <v>291798311</v>
      </c>
      <c r="E119" s="73">
        <v>2526742736</v>
      </c>
      <c r="F119" s="39" t="s">
        <v>256</v>
      </c>
      <c r="G119" s="49">
        <v>36488</v>
      </c>
      <c r="H119" s="50" t="str">
        <f t="shared" si="2"/>
        <v>Nov</v>
      </c>
      <c r="I119" s="51">
        <f t="shared" ca="1" si="3"/>
        <v>16</v>
      </c>
      <c r="J119" s="52" t="s">
        <v>257</v>
      </c>
      <c r="K119" s="53">
        <v>96140</v>
      </c>
      <c r="L119" s="54">
        <v>4</v>
      </c>
      <c r="M119" s="55"/>
    </row>
    <row r="120" spans="1:15" x14ac:dyDescent="0.25">
      <c r="A120" s="39" t="s">
        <v>397</v>
      </c>
      <c r="B120" s="46" t="s">
        <v>266</v>
      </c>
      <c r="C120" s="39" t="s">
        <v>391</v>
      </c>
      <c r="D120" s="72">
        <v>434927073</v>
      </c>
      <c r="E120" s="73">
        <v>2528440900</v>
      </c>
      <c r="F120" s="39" t="s">
        <v>256</v>
      </c>
      <c r="G120" s="49">
        <v>38613</v>
      </c>
      <c r="H120" s="50" t="str">
        <f t="shared" si="2"/>
        <v>Sep</v>
      </c>
      <c r="I120" s="51">
        <f t="shared" ca="1" si="3"/>
        <v>11</v>
      </c>
      <c r="J120" s="52" t="s">
        <v>267</v>
      </c>
      <c r="K120" s="53">
        <v>47690</v>
      </c>
      <c r="L120" s="54">
        <v>1</v>
      </c>
      <c r="M120" s="55"/>
    </row>
    <row r="121" spans="1:15" x14ac:dyDescent="0.25">
      <c r="A121" s="39" t="s">
        <v>398</v>
      </c>
      <c r="B121" s="46" t="s">
        <v>285</v>
      </c>
      <c r="C121" s="39" t="s">
        <v>391</v>
      </c>
      <c r="D121" s="72">
        <v>685953695</v>
      </c>
      <c r="E121" s="73">
        <v>9196756847</v>
      </c>
      <c r="F121" s="39" t="s">
        <v>256</v>
      </c>
      <c r="G121" s="49">
        <v>34824</v>
      </c>
      <c r="H121" s="50" t="str">
        <f t="shared" si="2"/>
        <v>May</v>
      </c>
      <c r="I121" s="51">
        <f t="shared" ca="1" si="3"/>
        <v>21</v>
      </c>
      <c r="J121" s="52" t="s">
        <v>283</v>
      </c>
      <c r="K121" s="53">
        <v>99310</v>
      </c>
      <c r="L121" s="54">
        <v>4</v>
      </c>
      <c r="M121" s="55"/>
    </row>
    <row r="122" spans="1:15" x14ac:dyDescent="0.25">
      <c r="A122" s="39" t="s">
        <v>399</v>
      </c>
      <c r="B122" s="46" t="s">
        <v>251</v>
      </c>
      <c r="C122" s="39" t="s">
        <v>391</v>
      </c>
      <c r="D122" s="72">
        <v>843875501</v>
      </c>
      <c r="E122" s="73">
        <v>2522715355</v>
      </c>
      <c r="F122" s="39" t="s">
        <v>247</v>
      </c>
      <c r="G122" s="49">
        <v>37177</v>
      </c>
      <c r="H122" s="50" t="str">
        <f t="shared" si="2"/>
        <v>Oct</v>
      </c>
      <c r="I122" s="51">
        <f t="shared" ca="1" si="3"/>
        <v>15</v>
      </c>
      <c r="J122" s="52"/>
      <c r="K122" s="53">
        <v>39530</v>
      </c>
      <c r="L122" s="54">
        <v>5</v>
      </c>
      <c r="M122" s="55"/>
    </row>
    <row r="123" spans="1:15" x14ac:dyDescent="0.25">
      <c r="A123" s="39" t="s">
        <v>400</v>
      </c>
      <c r="B123" s="46" t="s">
        <v>285</v>
      </c>
      <c r="C123" s="39" t="s">
        <v>391</v>
      </c>
      <c r="D123" s="72">
        <v>585815837</v>
      </c>
      <c r="E123" s="73">
        <v>9194983657</v>
      </c>
      <c r="F123" s="39" t="s">
        <v>261</v>
      </c>
      <c r="G123" s="49">
        <v>34995</v>
      </c>
      <c r="H123" s="50" t="str">
        <f t="shared" si="2"/>
        <v>Oct</v>
      </c>
      <c r="I123" s="51">
        <f t="shared" ca="1" si="3"/>
        <v>21</v>
      </c>
      <c r="J123" s="52" t="s">
        <v>276</v>
      </c>
      <c r="K123" s="53">
        <v>22390</v>
      </c>
      <c r="L123" s="54">
        <v>4</v>
      </c>
      <c r="M123" s="55"/>
    </row>
    <row r="124" spans="1:15" x14ac:dyDescent="0.25">
      <c r="A124" s="39" t="s">
        <v>401</v>
      </c>
      <c r="B124" s="46" t="s">
        <v>271</v>
      </c>
      <c r="C124" s="39" t="s">
        <v>391</v>
      </c>
      <c r="D124" s="72">
        <v>863161920</v>
      </c>
      <c r="E124" s="73">
        <v>2523748373</v>
      </c>
      <c r="F124" s="39" t="s">
        <v>256</v>
      </c>
      <c r="G124" s="49">
        <v>37078</v>
      </c>
      <c r="H124" s="50" t="str">
        <f t="shared" si="2"/>
        <v>Jul</v>
      </c>
      <c r="I124" s="51">
        <f t="shared" ca="1" si="3"/>
        <v>15</v>
      </c>
      <c r="J124" s="52" t="s">
        <v>283</v>
      </c>
      <c r="K124" s="53">
        <v>60130</v>
      </c>
      <c r="L124" s="54">
        <v>1</v>
      </c>
      <c r="M124" s="55"/>
    </row>
    <row r="125" spans="1:15" x14ac:dyDescent="0.25">
      <c r="A125" s="39" t="s">
        <v>402</v>
      </c>
      <c r="B125" s="46" t="s">
        <v>271</v>
      </c>
      <c r="C125" s="39" t="s">
        <v>391</v>
      </c>
      <c r="D125" s="72">
        <v>469591073</v>
      </c>
      <c r="E125" s="73">
        <v>2523327522</v>
      </c>
      <c r="F125" s="39" t="s">
        <v>256</v>
      </c>
      <c r="G125" s="49">
        <v>38114</v>
      </c>
      <c r="H125" s="50" t="str">
        <f t="shared" si="2"/>
        <v>May</v>
      </c>
      <c r="I125" s="51">
        <f t="shared" ca="1" si="3"/>
        <v>12</v>
      </c>
      <c r="J125" s="52" t="s">
        <v>267</v>
      </c>
      <c r="K125" s="53">
        <v>73380</v>
      </c>
      <c r="L125" s="54">
        <v>4</v>
      </c>
      <c r="M125" s="55"/>
    </row>
    <row r="126" spans="1:15" x14ac:dyDescent="0.25">
      <c r="A126" s="39" t="s">
        <v>403</v>
      </c>
      <c r="B126" s="46" t="s">
        <v>285</v>
      </c>
      <c r="C126" s="39" t="s">
        <v>391</v>
      </c>
      <c r="D126" s="72">
        <v>828996583</v>
      </c>
      <c r="E126" s="73">
        <v>2521282202</v>
      </c>
      <c r="F126" s="39" t="s">
        <v>252</v>
      </c>
      <c r="G126" s="49">
        <v>34184</v>
      </c>
      <c r="H126" s="50" t="str">
        <f t="shared" si="2"/>
        <v>Aug</v>
      </c>
      <c r="I126" s="51">
        <f t="shared" ca="1" si="3"/>
        <v>23</v>
      </c>
      <c r="J126" s="52"/>
      <c r="K126" s="53">
        <v>17650</v>
      </c>
      <c r="L126" s="54">
        <v>5</v>
      </c>
      <c r="M126" s="55"/>
    </row>
    <row r="127" spans="1:15" x14ac:dyDescent="0.25">
      <c r="A127" s="39" t="s">
        <v>404</v>
      </c>
      <c r="B127" s="46" t="s">
        <v>285</v>
      </c>
      <c r="C127" s="39" t="s">
        <v>391</v>
      </c>
      <c r="D127" s="72">
        <v>195245117</v>
      </c>
      <c r="E127" s="73">
        <v>9193451072</v>
      </c>
      <c r="F127" s="39" t="s">
        <v>252</v>
      </c>
      <c r="G127" s="49">
        <v>36674</v>
      </c>
      <c r="H127" s="50" t="str">
        <f t="shared" si="2"/>
        <v>May</v>
      </c>
      <c r="I127" s="51">
        <f t="shared" ca="1" si="3"/>
        <v>16</v>
      </c>
      <c r="J127" s="52"/>
      <c r="K127" s="53">
        <v>15210</v>
      </c>
      <c r="L127" s="54">
        <v>2</v>
      </c>
      <c r="M127" s="55"/>
    </row>
    <row r="128" spans="1:15" x14ac:dyDescent="0.25">
      <c r="A128" s="39" t="s">
        <v>405</v>
      </c>
      <c r="B128" s="46" t="s">
        <v>245</v>
      </c>
      <c r="C128" s="39" t="s">
        <v>391</v>
      </c>
      <c r="D128" s="72">
        <v>719937584</v>
      </c>
      <c r="E128" s="73">
        <v>9191653055</v>
      </c>
      <c r="F128" s="39" t="s">
        <v>256</v>
      </c>
      <c r="G128" s="49">
        <v>34448</v>
      </c>
      <c r="H128" s="50" t="str">
        <f t="shared" si="2"/>
        <v>Apr</v>
      </c>
      <c r="I128" s="51">
        <f t="shared" ca="1" si="3"/>
        <v>22</v>
      </c>
      <c r="J128" s="52" t="s">
        <v>283</v>
      </c>
      <c r="K128" s="53">
        <v>45140</v>
      </c>
      <c r="L128" s="54">
        <v>5</v>
      </c>
      <c r="M128" s="55"/>
      <c r="N128" s="63"/>
      <c r="O128" s="75"/>
    </row>
    <row r="129" spans="1:13" x14ac:dyDescent="0.25">
      <c r="A129" s="39" t="s">
        <v>406</v>
      </c>
      <c r="B129" s="46" t="s">
        <v>245</v>
      </c>
      <c r="C129" s="39" t="s">
        <v>391</v>
      </c>
      <c r="D129" s="72">
        <v>681596577</v>
      </c>
      <c r="E129" s="73">
        <v>9192387348</v>
      </c>
      <c r="F129" s="39" t="s">
        <v>247</v>
      </c>
      <c r="G129" s="49">
        <v>36151</v>
      </c>
      <c r="H129" s="50" t="str">
        <f t="shared" si="2"/>
        <v>Dec</v>
      </c>
      <c r="I129" s="51">
        <f t="shared" ca="1" si="3"/>
        <v>17</v>
      </c>
      <c r="J129" s="52"/>
      <c r="K129" s="53">
        <v>42310</v>
      </c>
      <c r="L129" s="54">
        <v>2</v>
      </c>
      <c r="M129" s="55"/>
    </row>
    <row r="130" spans="1:13" x14ac:dyDescent="0.25">
      <c r="A130" s="39" t="s">
        <v>407</v>
      </c>
      <c r="B130" s="46" t="s">
        <v>271</v>
      </c>
      <c r="C130" s="39" t="s">
        <v>391</v>
      </c>
      <c r="D130" s="72">
        <v>526188716</v>
      </c>
      <c r="E130" s="73">
        <v>2527230063</v>
      </c>
      <c r="F130" s="39" t="s">
        <v>247</v>
      </c>
      <c r="G130" s="49">
        <v>36960</v>
      </c>
      <c r="H130" s="50" t="str">
        <f t="shared" ref="H130:H193" si="4">CHOOSE(MONTH(G130),"Jan","Feb","Mar","Apr","May","Jun","Jul","Aug","Sep","Oct","Nov","Dec")</f>
        <v>Mar</v>
      </c>
      <c r="I130" s="51">
        <f t="shared" ref="I130:I193" ca="1" si="5">DATEDIF(G130,TODAY(),"Y")</f>
        <v>15</v>
      </c>
      <c r="J130" s="52"/>
      <c r="K130" s="53">
        <v>77360</v>
      </c>
      <c r="L130" s="54">
        <v>3</v>
      </c>
      <c r="M130" s="55"/>
    </row>
    <row r="131" spans="1:13" x14ac:dyDescent="0.25">
      <c r="A131" s="39" t="s">
        <v>408</v>
      </c>
      <c r="B131" s="46" t="s">
        <v>271</v>
      </c>
      <c r="C131" s="39" t="s">
        <v>391</v>
      </c>
      <c r="D131" s="72">
        <v>907491320</v>
      </c>
      <c r="E131" s="73">
        <v>2525724528</v>
      </c>
      <c r="F131" s="39" t="s">
        <v>261</v>
      </c>
      <c r="G131" s="49">
        <v>37358</v>
      </c>
      <c r="H131" s="50" t="str">
        <f t="shared" si="4"/>
        <v>Apr</v>
      </c>
      <c r="I131" s="51">
        <f t="shared" ca="1" si="5"/>
        <v>14</v>
      </c>
      <c r="J131" s="52" t="s">
        <v>276</v>
      </c>
      <c r="K131" s="53">
        <v>51490</v>
      </c>
      <c r="L131" s="54">
        <v>1</v>
      </c>
      <c r="M131" s="55"/>
    </row>
    <row r="132" spans="1:13" x14ac:dyDescent="0.25">
      <c r="A132" s="39" t="s">
        <v>409</v>
      </c>
      <c r="B132" s="46" t="s">
        <v>285</v>
      </c>
      <c r="C132" s="39" t="s">
        <v>391</v>
      </c>
      <c r="D132" s="72">
        <v>694800128</v>
      </c>
      <c r="E132" s="73">
        <v>9197111802</v>
      </c>
      <c r="F132" s="39" t="s">
        <v>256</v>
      </c>
      <c r="G132" s="49">
        <v>37270</v>
      </c>
      <c r="H132" s="50" t="str">
        <f t="shared" si="4"/>
        <v>Jan</v>
      </c>
      <c r="I132" s="51">
        <f t="shared" ca="1" si="5"/>
        <v>14</v>
      </c>
      <c r="J132" s="52" t="s">
        <v>283</v>
      </c>
      <c r="K132" s="53">
        <v>73600</v>
      </c>
      <c r="L132" s="54">
        <v>1</v>
      </c>
      <c r="M132" s="55"/>
    </row>
    <row r="133" spans="1:13" x14ac:dyDescent="0.25">
      <c r="A133" s="39" t="s">
        <v>410</v>
      </c>
      <c r="B133" s="46" t="s">
        <v>285</v>
      </c>
      <c r="C133" s="39" t="s">
        <v>411</v>
      </c>
      <c r="D133" s="72">
        <v>850210766</v>
      </c>
      <c r="E133" s="73">
        <v>2527838614</v>
      </c>
      <c r="F133" s="39" t="s">
        <v>256</v>
      </c>
      <c r="G133" s="49">
        <v>39588</v>
      </c>
      <c r="H133" s="50" t="str">
        <f t="shared" si="4"/>
        <v>May</v>
      </c>
      <c r="I133" s="51">
        <f t="shared" ca="1" si="5"/>
        <v>8</v>
      </c>
      <c r="J133" s="52" t="s">
        <v>257</v>
      </c>
      <c r="K133" s="53">
        <v>56820</v>
      </c>
      <c r="L133" s="54">
        <v>5</v>
      </c>
      <c r="M133" s="55"/>
    </row>
    <row r="134" spans="1:13" x14ac:dyDescent="0.25">
      <c r="A134" s="39" t="s">
        <v>412</v>
      </c>
      <c r="B134" s="46" t="s">
        <v>285</v>
      </c>
      <c r="C134" s="39" t="s">
        <v>411</v>
      </c>
      <c r="D134" s="72">
        <v>699053064</v>
      </c>
      <c r="E134" s="73">
        <v>9191299076</v>
      </c>
      <c r="F134" s="39" t="s">
        <v>247</v>
      </c>
      <c r="G134" s="49">
        <v>39528</v>
      </c>
      <c r="H134" s="50" t="str">
        <f t="shared" si="4"/>
        <v>Mar</v>
      </c>
      <c r="I134" s="51">
        <f t="shared" ca="1" si="5"/>
        <v>8</v>
      </c>
      <c r="J134" s="52"/>
      <c r="K134" s="53">
        <v>72070</v>
      </c>
      <c r="L134" s="54">
        <v>2</v>
      </c>
      <c r="M134" s="55"/>
    </row>
    <row r="135" spans="1:13" x14ac:dyDescent="0.25">
      <c r="A135" s="39" t="s">
        <v>413</v>
      </c>
      <c r="B135" s="46" t="s">
        <v>245</v>
      </c>
      <c r="C135" s="39" t="s">
        <v>411</v>
      </c>
      <c r="D135" s="72">
        <v>914041569</v>
      </c>
      <c r="E135" s="73">
        <v>9196082608</v>
      </c>
      <c r="F135" s="39" t="s">
        <v>256</v>
      </c>
      <c r="G135" s="49">
        <v>41401</v>
      </c>
      <c r="H135" s="50" t="str">
        <f t="shared" si="4"/>
        <v>May</v>
      </c>
      <c r="I135" s="51">
        <f t="shared" ca="1" si="5"/>
        <v>3</v>
      </c>
      <c r="J135" s="52" t="s">
        <v>283</v>
      </c>
      <c r="K135" s="53">
        <v>94980</v>
      </c>
      <c r="L135" s="54">
        <v>2</v>
      </c>
      <c r="M135" s="55"/>
    </row>
    <row r="136" spans="1:13" x14ac:dyDescent="0.25">
      <c r="A136" s="39" t="s">
        <v>414</v>
      </c>
      <c r="B136" s="46" t="s">
        <v>245</v>
      </c>
      <c r="C136" s="39" t="s">
        <v>411</v>
      </c>
      <c r="D136" s="72">
        <v>885773638</v>
      </c>
      <c r="E136" s="73">
        <v>9196188082</v>
      </c>
      <c r="F136" s="39" t="s">
        <v>256</v>
      </c>
      <c r="G136" s="49">
        <v>37570</v>
      </c>
      <c r="H136" s="50" t="str">
        <f t="shared" si="4"/>
        <v>Nov</v>
      </c>
      <c r="I136" s="51">
        <f t="shared" ca="1" si="5"/>
        <v>14</v>
      </c>
      <c r="J136" s="52" t="s">
        <v>283</v>
      </c>
      <c r="K136" s="53">
        <v>90070</v>
      </c>
      <c r="L136" s="54">
        <v>5</v>
      </c>
      <c r="M136" s="55"/>
    </row>
    <row r="137" spans="1:13" x14ac:dyDescent="0.25">
      <c r="A137" s="39" t="s">
        <v>415</v>
      </c>
      <c r="B137" s="46" t="s">
        <v>271</v>
      </c>
      <c r="C137" s="39" t="s">
        <v>411</v>
      </c>
      <c r="D137" s="72">
        <v>999789446</v>
      </c>
      <c r="E137" s="73">
        <v>2521696804</v>
      </c>
      <c r="F137" s="39" t="s">
        <v>256</v>
      </c>
      <c r="G137" s="49">
        <v>36330</v>
      </c>
      <c r="H137" s="50" t="str">
        <f t="shared" si="4"/>
        <v>Jun</v>
      </c>
      <c r="I137" s="51">
        <f t="shared" ca="1" si="5"/>
        <v>17</v>
      </c>
      <c r="J137" s="52" t="s">
        <v>257</v>
      </c>
      <c r="K137" s="53">
        <v>80090</v>
      </c>
      <c r="L137" s="54">
        <v>2</v>
      </c>
      <c r="M137" s="55"/>
    </row>
    <row r="138" spans="1:13" x14ac:dyDescent="0.25">
      <c r="A138" s="39" t="s">
        <v>416</v>
      </c>
      <c r="B138" s="46" t="s">
        <v>271</v>
      </c>
      <c r="C138" s="39" t="s">
        <v>417</v>
      </c>
      <c r="D138" s="72">
        <v>707553376</v>
      </c>
      <c r="E138" s="73">
        <v>9194194193</v>
      </c>
      <c r="F138" s="39" t="s">
        <v>256</v>
      </c>
      <c r="G138" s="49">
        <v>36085</v>
      </c>
      <c r="H138" s="50" t="str">
        <f t="shared" si="4"/>
        <v>Oct</v>
      </c>
      <c r="I138" s="51">
        <f t="shared" ca="1" si="5"/>
        <v>18</v>
      </c>
      <c r="J138" s="52" t="s">
        <v>276</v>
      </c>
      <c r="K138" s="53">
        <v>59110</v>
      </c>
      <c r="L138" s="54">
        <v>3</v>
      </c>
      <c r="M138" s="55"/>
    </row>
    <row r="139" spans="1:13" x14ac:dyDescent="0.25">
      <c r="A139" s="39" t="s">
        <v>418</v>
      </c>
      <c r="B139" s="46" t="s">
        <v>285</v>
      </c>
      <c r="C139" s="39" t="s">
        <v>417</v>
      </c>
      <c r="D139" s="72">
        <v>575648597</v>
      </c>
      <c r="E139" s="73">
        <v>9198865267</v>
      </c>
      <c r="F139" s="39" t="s">
        <v>247</v>
      </c>
      <c r="G139" s="49">
        <v>38642</v>
      </c>
      <c r="H139" s="50" t="str">
        <f t="shared" si="4"/>
        <v>Oct</v>
      </c>
      <c r="I139" s="51">
        <f t="shared" ca="1" si="5"/>
        <v>11</v>
      </c>
      <c r="J139" s="52"/>
      <c r="K139" s="53">
        <v>38360</v>
      </c>
      <c r="L139" s="54">
        <v>5</v>
      </c>
      <c r="M139" s="55"/>
    </row>
    <row r="140" spans="1:13" x14ac:dyDescent="0.25">
      <c r="A140" s="39" t="s">
        <v>419</v>
      </c>
      <c r="B140" s="46" t="s">
        <v>285</v>
      </c>
      <c r="C140" s="39" t="s">
        <v>417</v>
      </c>
      <c r="D140" s="72">
        <v>425598783</v>
      </c>
      <c r="E140" s="73">
        <v>9191559081</v>
      </c>
      <c r="F140" s="39" t="s">
        <v>261</v>
      </c>
      <c r="G140" s="49">
        <v>36071</v>
      </c>
      <c r="H140" s="50" t="str">
        <f t="shared" si="4"/>
        <v>Oct</v>
      </c>
      <c r="I140" s="51">
        <f t="shared" ca="1" si="5"/>
        <v>18</v>
      </c>
      <c r="J140" s="52" t="s">
        <v>276</v>
      </c>
      <c r="K140" s="53">
        <v>25460</v>
      </c>
      <c r="L140" s="54">
        <v>3</v>
      </c>
      <c r="M140" s="55"/>
    </row>
    <row r="141" spans="1:13" x14ac:dyDescent="0.25">
      <c r="A141" s="39" t="s">
        <v>420</v>
      </c>
      <c r="B141" s="46" t="s">
        <v>251</v>
      </c>
      <c r="C141" s="39" t="s">
        <v>417</v>
      </c>
      <c r="D141" s="72">
        <v>212136062</v>
      </c>
      <c r="E141" s="73">
        <v>9197226463</v>
      </c>
      <c r="F141" s="39" t="s">
        <v>256</v>
      </c>
      <c r="G141" s="49">
        <v>37083</v>
      </c>
      <c r="H141" s="50" t="str">
        <f t="shared" si="4"/>
        <v>Jul</v>
      </c>
      <c r="I141" s="51">
        <f t="shared" ca="1" si="5"/>
        <v>15</v>
      </c>
      <c r="J141" s="52" t="s">
        <v>283</v>
      </c>
      <c r="K141" s="53">
        <v>98880</v>
      </c>
      <c r="L141" s="54">
        <v>2</v>
      </c>
      <c r="M141" s="55"/>
    </row>
    <row r="142" spans="1:13" x14ac:dyDescent="0.25">
      <c r="A142" s="39" t="s">
        <v>421</v>
      </c>
      <c r="B142" s="46" t="s">
        <v>280</v>
      </c>
      <c r="C142" s="39" t="s">
        <v>417</v>
      </c>
      <c r="D142" s="72">
        <v>291841866</v>
      </c>
      <c r="E142" s="73">
        <v>9191534053</v>
      </c>
      <c r="F142" s="39" t="s">
        <v>256</v>
      </c>
      <c r="G142" s="49">
        <v>34873</v>
      </c>
      <c r="H142" s="50" t="str">
        <f t="shared" si="4"/>
        <v>Jun</v>
      </c>
      <c r="I142" s="51">
        <f t="shared" ca="1" si="5"/>
        <v>21</v>
      </c>
      <c r="J142" s="52" t="s">
        <v>257</v>
      </c>
      <c r="K142" s="53">
        <v>77410</v>
      </c>
      <c r="L142" s="54">
        <v>3</v>
      </c>
      <c r="M142" s="55"/>
    </row>
    <row r="143" spans="1:13" x14ac:dyDescent="0.25">
      <c r="A143" s="39" t="s">
        <v>422</v>
      </c>
      <c r="B143" s="46" t="s">
        <v>271</v>
      </c>
      <c r="C143" s="39" t="s">
        <v>417</v>
      </c>
      <c r="D143" s="72">
        <v>736688620</v>
      </c>
      <c r="E143" s="73">
        <v>2524562999</v>
      </c>
      <c r="F143" s="39" t="s">
        <v>261</v>
      </c>
      <c r="G143" s="49">
        <v>40769</v>
      </c>
      <c r="H143" s="50" t="str">
        <f t="shared" si="4"/>
        <v>Aug</v>
      </c>
      <c r="I143" s="51">
        <f t="shared" ca="1" si="5"/>
        <v>5</v>
      </c>
      <c r="J143" s="52" t="s">
        <v>257</v>
      </c>
      <c r="K143" s="53">
        <v>47420</v>
      </c>
      <c r="L143" s="54">
        <v>5</v>
      </c>
      <c r="M143" s="55"/>
    </row>
    <row r="144" spans="1:13" x14ac:dyDescent="0.25">
      <c r="A144" s="39" t="s">
        <v>423</v>
      </c>
      <c r="B144" s="46" t="s">
        <v>285</v>
      </c>
      <c r="C144" s="39" t="s">
        <v>417</v>
      </c>
      <c r="D144" s="72">
        <v>393051351</v>
      </c>
      <c r="E144" s="73">
        <v>9197508998</v>
      </c>
      <c r="F144" s="39" t="s">
        <v>261</v>
      </c>
      <c r="G144" s="49">
        <v>36187</v>
      </c>
      <c r="H144" s="50" t="str">
        <f t="shared" si="4"/>
        <v>Jan</v>
      </c>
      <c r="I144" s="51">
        <f t="shared" ca="1" si="5"/>
        <v>17</v>
      </c>
      <c r="J144" s="52" t="s">
        <v>276</v>
      </c>
      <c r="K144" s="53">
        <v>39400</v>
      </c>
      <c r="L144" s="54">
        <v>2</v>
      </c>
      <c r="M144" s="55"/>
    </row>
    <row r="145" spans="1:14" x14ac:dyDescent="0.25">
      <c r="A145" s="39" t="s">
        <v>424</v>
      </c>
      <c r="B145" s="46" t="s">
        <v>271</v>
      </c>
      <c r="C145" s="39" t="s">
        <v>417</v>
      </c>
      <c r="D145" s="72">
        <v>518690148</v>
      </c>
      <c r="E145" s="73">
        <v>2526500529</v>
      </c>
      <c r="F145" s="39" t="s">
        <v>256</v>
      </c>
      <c r="G145" s="49">
        <v>41400</v>
      </c>
      <c r="H145" s="50" t="str">
        <f t="shared" si="4"/>
        <v>May</v>
      </c>
      <c r="I145" s="51">
        <f t="shared" ca="1" si="5"/>
        <v>3</v>
      </c>
      <c r="J145" s="52" t="s">
        <v>267</v>
      </c>
      <c r="K145" s="53">
        <v>39170</v>
      </c>
      <c r="L145" s="54">
        <v>4</v>
      </c>
      <c r="M145" s="55"/>
    </row>
    <row r="146" spans="1:14" x14ac:dyDescent="0.25">
      <c r="A146" s="39" t="s">
        <v>425</v>
      </c>
      <c r="B146" s="46" t="s">
        <v>285</v>
      </c>
      <c r="C146" s="39" t="s">
        <v>417</v>
      </c>
      <c r="D146" s="72">
        <v>110184347</v>
      </c>
      <c r="E146" s="73">
        <v>2526166452</v>
      </c>
      <c r="F146" s="39" t="s">
        <v>256</v>
      </c>
      <c r="G146" s="49">
        <v>36254</v>
      </c>
      <c r="H146" s="50" t="str">
        <f t="shared" si="4"/>
        <v>Apr</v>
      </c>
      <c r="I146" s="51">
        <f t="shared" ca="1" si="5"/>
        <v>17</v>
      </c>
      <c r="J146" s="52" t="s">
        <v>257</v>
      </c>
      <c r="K146" s="53">
        <v>76540</v>
      </c>
      <c r="L146" s="54">
        <v>5</v>
      </c>
      <c r="M146" s="55"/>
    </row>
    <row r="147" spans="1:14" x14ac:dyDescent="0.25">
      <c r="A147" s="39" t="s">
        <v>426</v>
      </c>
      <c r="B147" s="46" t="s">
        <v>271</v>
      </c>
      <c r="C147" s="39" t="s">
        <v>417</v>
      </c>
      <c r="D147" s="72">
        <v>282972141</v>
      </c>
      <c r="E147" s="73">
        <v>2527135797</v>
      </c>
      <c r="F147" s="39" t="s">
        <v>247</v>
      </c>
      <c r="G147" s="49">
        <v>36940</v>
      </c>
      <c r="H147" s="50" t="str">
        <f t="shared" si="4"/>
        <v>Feb</v>
      </c>
      <c r="I147" s="51">
        <f t="shared" ca="1" si="5"/>
        <v>15</v>
      </c>
      <c r="J147" s="52"/>
      <c r="K147" s="53">
        <v>30140</v>
      </c>
      <c r="L147" s="54">
        <v>5</v>
      </c>
      <c r="M147" s="55"/>
    </row>
    <row r="148" spans="1:14" x14ac:dyDescent="0.25">
      <c r="A148" s="39" t="s">
        <v>427</v>
      </c>
      <c r="B148" s="46" t="s">
        <v>266</v>
      </c>
      <c r="C148" s="39" t="s">
        <v>417</v>
      </c>
      <c r="D148" s="72">
        <v>956291859</v>
      </c>
      <c r="E148" s="73">
        <v>2521156902</v>
      </c>
      <c r="F148" s="39" t="s">
        <v>247</v>
      </c>
      <c r="G148" s="49">
        <v>41260</v>
      </c>
      <c r="H148" s="50" t="str">
        <f t="shared" si="4"/>
        <v>Dec</v>
      </c>
      <c r="I148" s="51">
        <f t="shared" ca="1" si="5"/>
        <v>3</v>
      </c>
      <c r="J148" s="52"/>
      <c r="K148" s="53">
        <v>54850</v>
      </c>
      <c r="L148" s="54">
        <v>3</v>
      </c>
      <c r="M148" s="55"/>
    </row>
    <row r="149" spans="1:14" x14ac:dyDescent="0.25">
      <c r="A149" s="39" t="s">
        <v>428</v>
      </c>
      <c r="B149" s="46" t="s">
        <v>271</v>
      </c>
      <c r="C149" s="39" t="s">
        <v>417</v>
      </c>
      <c r="D149" s="72">
        <v>503349830</v>
      </c>
      <c r="E149" s="73">
        <v>9191999230</v>
      </c>
      <c r="F149" s="39" t="s">
        <v>256</v>
      </c>
      <c r="G149" s="49">
        <v>34406</v>
      </c>
      <c r="H149" s="50" t="str">
        <f t="shared" si="4"/>
        <v>Mar</v>
      </c>
      <c r="I149" s="51">
        <f t="shared" ca="1" si="5"/>
        <v>22</v>
      </c>
      <c r="J149" s="52" t="s">
        <v>283</v>
      </c>
      <c r="K149" s="53">
        <v>38570</v>
      </c>
      <c r="L149" s="54">
        <v>2</v>
      </c>
      <c r="M149" s="55"/>
    </row>
    <row r="150" spans="1:14" x14ac:dyDescent="0.25">
      <c r="A150" s="39" t="s">
        <v>429</v>
      </c>
      <c r="B150" s="46" t="s">
        <v>271</v>
      </c>
      <c r="C150" s="39" t="s">
        <v>417</v>
      </c>
      <c r="D150" s="72">
        <v>407299017</v>
      </c>
      <c r="E150" s="73">
        <v>9195968632</v>
      </c>
      <c r="F150" s="39" t="s">
        <v>252</v>
      </c>
      <c r="G150" s="49">
        <v>40894</v>
      </c>
      <c r="H150" s="50" t="str">
        <f t="shared" si="4"/>
        <v>Dec</v>
      </c>
      <c r="I150" s="51">
        <f t="shared" ca="1" si="5"/>
        <v>4</v>
      </c>
      <c r="J150" s="52"/>
      <c r="K150" s="53">
        <v>18890</v>
      </c>
      <c r="L150" s="54">
        <v>3</v>
      </c>
      <c r="M150" s="55"/>
    </row>
    <row r="151" spans="1:14" x14ac:dyDescent="0.25">
      <c r="A151" s="39" t="s">
        <v>430</v>
      </c>
      <c r="B151" s="46" t="s">
        <v>245</v>
      </c>
      <c r="C151" s="39" t="s">
        <v>417</v>
      </c>
      <c r="D151" s="72">
        <v>870601943</v>
      </c>
      <c r="E151" s="73">
        <v>9196097340</v>
      </c>
      <c r="F151" s="39" t="s">
        <v>247</v>
      </c>
      <c r="G151" s="49">
        <v>35762</v>
      </c>
      <c r="H151" s="50" t="str">
        <f t="shared" si="4"/>
        <v>Nov</v>
      </c>
      <c r="I151" s="51">
        <f t="shared" ca="1" si="5"/>
        <v>18</v>
      </c>
      <c r="J151" s="52"/>
      <c r="K151" s="53">
        <v>54050</v>
      </c>
      <c r="L151" s="54">
        <v>5</v>
      </c>
      <c r="M151" s="55"/>
    </row>
    <row r="152" spans="1:14" x14ac:dyDescent="0.25">
      <c r="A152" s="39" t="s">
        <v>431</v>
      </c>
      <c r="B152" s="46" t="s">
        <v>285</v>
      </c>
      <c r="C152" s="39" t="s">
        <v>417</v>
      </c>
      <c r="D152" s="72">
        <v>927043360</v>
      </c>
      <c r="E152" s="73">
        <v>2526053287</v>
      </c>
      <c r="F152" s="39" t="s">
        <v>247</v>
      </c>
      <c r="G152" s="49">
        <v>34425</v>
      </c>
      <c r="H152" s="50" t="str">
        <f t="shared" si="4"/>
        <v>Apr</v>
      </c>
      <c r="I152" s="51">
        <f t="shared" ca="1" si="5"/>
        <v>22</v>
      </c>
      <c r="J152" s="52"/>
      <c r="K152" s="53">
        <v>26780</v>
      </c>
      <c r="L152" s="54">
        <v>2</v>
      </c>
      <c r="M152" s="55"/>
    </row>
    <row r="153" spans="1:14" x14ac:dyDescent="0.25">
      <c r="A153" s="39" t="s">
        <v>432</v>
      </c>
      <c r="B153" s="46" t="s">
        <v>245</v>
      </c>
      <c r="C153" s="39" t="s">
        <v>417</v>
      </c>
      <c r="D153" s="72">
        <v>304068732</v>
      </c>
      <c r="E153" s="73">
        <v>2523919445</v>
      </c>
      <c r="F153" s="39" t="s">
        <v>261</v>
      </c>
      <c r="G153" s="49">
        <v>34710</v>
      </c>
      <c r="H153" s="50" t="str">
        <f t="shared" si="4"/>
        <v>Jan</v>
      </c>
      <c r="I153" s="51">
        <f t="shared" ca="1" si="5"/>
        <v>21</v>
      </c>
      <c r="J153" s="52" t="s">
        <v>257</v>
      </c>
      <c r="K153" s="53">
        <v>40930</v>
      </c>
      <c r="L153" s="54">
        <v>4</v>
      </c>
      <c r="M153" s="55"/>
      <c r="N153" s="63"/>
    </row>
    <row r="154" spans="1:14" x14ac:dyDescent="0.25">
      <c r="A154" s="39" t="s">
        <v>433</v>
      </c>
      <c r="B154" s="46" t="s">
        <v>245</v>
      </c>
      <c r="C154" s="39" t="s">
        <v>417</v>
      </c>
      <c r="D154" s="72">
        <v>429283827</v>
      </c>
      <c r="E154" s="73">
        <v>9195508095</v>
      </c>
      <c r="F154" s="39" t="s">
        <v>256</v>
      </c>
      <c r="G154" s="49">
        <v>37644</v>
      </c>
      <c r="H154" s="50" t="str">
        <f t="shared" si="4"/>
        <v>Jan</v>
      </c>
      <c r="I154" s="51">
        <f t="shared" ca="1" si="5"/>
        <v>13</v>
      </c>
      <c r="J154" s="52" t="s">
        <v>283</v>
      </c>
      <c r="K154" s="53">
        <v>85660</v>
      </c>
      <c r="L154" s="54">
        <v>2</v>
      </c>
      <c r="M154" s="55"/>
    </row>
    <row r="155" spans="1:14" x14ac:dyDescent="0.25">
      <c r="A155" s="39" t="s">
        <v>434</v>
      </c>
      <c r="B155" s="46" t="s">
        <v>251</v>
      </c>
      <c r="C155" s="39" t="s">
        <v>417</v>
      </c>
      <c r="D155" s="72">
        <v>993867417</v>
      </c>
      <c r="E155" s="73">
        <v>2522338778</v>
      </c>
      <c r="F155" s="39" t="s">
        <v>256</v>
      </c>
      <c r="G155" s="49">
        <v>34924</v>
      </c>
      <c r="H155" s="50" t="str">
        <f t="shared" si="4"/>
        <v>Aug</v>
      </c>
      <c r="I155" s="51">
        <f t="shared" ca="1" si="5"/>
        <v>21</v>
      </c>
      <c r="J155" s="52" t="s">
        <v>283</v>
      </c>
      <c r="K155" s="53">
        <v>55610</v>
      </c>
      <c r="L155" s="54">
        <v>5</v>
      </c>
      <c r="M155" s="55"/>
    </row>
    <row r="156" spans="1:14" x14ac:dyDescent="0.25">
      <c r="A156" s="39" t="s">
        <v>435</v>
      </c>
      <c r="B156" s="46" t="s">
        <v>280</v>
      </c>
      <c r="C156" s="39" t="s">
        <v>417</v>
      </c>
      <c r="D156" s="72">
        <v>525507320</v>
      </c>
      <c r="E156" s="73">
        <v>2523938131</v>
      </c>
      <c r="F156" s="39" t="s">
        <v>256</v>
      </c>
      <c r="G156" s="49">
        <v>37415</v>
      </c>
      <c r="H156" s="50" t="str">
        <f t="shared" si="4"/>
        <v>Jun</v>
      </c>
      <c r="I156" s="51">
        <f t="shared" ca="1" si="5"/>
        <v>14</v>
      </c>
      <c r="J156" s="52" t="s">
        <v>276</v>
      </c>
      <c r="K156" s="53">
        <v>47620</v>
      </c>
      <c r="L156" s="54">
        <v>5</v>
      </c>
      <c r="M156" s="55"/>
    </row>
    <row r="157" spans="1:14" x14ac:dyDescent="0.25">
      <c r="A157" s="39" t="s">
        <v>436</v>
      </c>
      <c r="B157" s="46" t="s">
        <v>280</v>
      </c>
      <c r="C157" s="39" t="s">
        <v>417</v>
      </c>
      <c r="D157" s="72">
        <v>279591317</v>
      </c>
      <c r="E157" s="73">
        <v>2522381391</v>
      </c>
      <c r="F157" s="39" t="s">
        <v>252</v>
      </c>
      <c r="G157" s="49">
        <v>37264</v>
      </c>
      <c r="H157" s="50" t="str">
        <f t="shared" si="4"/>
        <v>Jan</v>
      </c>
      <c r="I157" s="51">
        <f t="shared" ca="1" si="5"/>
        <v>14</v>
      </c>
      <c r="J157" s="52"/>
      <c r="K157" s="53">
        <v>46520</v>
      </c>
      <c r="L157" s="54">
        <v>4</v>
      </c>
      <c r="M157" s="55"/>
    </row>
    <row r="158" spans="1:14" x14ac:dyDescent="0.25">
      <c r="A158" s="39" t="s">
        <v>437</v>
      </c>
      <c r="B158" s="46" t="s">
        <v>285</v>
      </c>
      <c r="C158" s="39" t="s">
        <v>417</v>
      </c>
      <c r="D158" s="72">
        <v>541365827</v>
      </c>
      <c r="E158" s="73">
        <v>2525317859</v>
      </c>
      <c r="F158" s="39" t="s">
        <v>256</v>
      </c>
      <c r="G158" s="49">
        <v>39136</v>
      </c>
      <c r="H158" s="50" t="str">
        <f t="shared" si="4"/>
        <v>Feb</v>
      </c>
      <c r="I158" s="51">
        <f t="shared" ca="1" si="5"/>
        <v>9</v>
      </c>
      <c r="J158" s="52" t="s">
        <v>267</v>
      </c>
      <c r="K158" s="53">
        <v>78670</v>
      </c>
      <c r="L158" s="54">
        <v>1</v>
      </c>
      <c r="M158" s="55"/>
    </row>
    <row r="159" spans="1:14" x14ac:dyDescent="0.25">
      <c r="A159" s="39" t="s">
        <v>438</v>
      </c>
      <c r="B159" s="46" t="s">
        <v>271</v>
      </c>
      <c r="C159" s="39" t="s">
        <v>417</v>
      </c>
      <c r="D159" s="72">
        <v>571821715</v>
      </c>
      <c r="E159" s="73">
        <v>2527102355</v>
      </c>
      <c r="F159" s="39" t="s">
        <v>256</v>
      </c>
      <c r="G159" s="49">
        <v>36606</v>
      </c>
      <c r="H159" s="50" t="str">
        <f t="shared" si="4"/>
        <v>Mar</v>
      </c>
      <c r="I159" s="51">
        <f t="shared" ca="1" si="5"/>
        <v>16</v>
      </c>
      <c r="J159" s="52" t="s">
        <v>283</v>
      </c>
      <c r="K159" s="53">
        <v>68240</v>
      </c>
      <c r="L159" s="54">
        <v>1</v>
      </c>
      <c r="M159" s="55"/>
    </row>
    <row r="160" spans="1:14" x14ac:dyDescent="0.25">
      <c r="A160" s="39" t="s">
        <v>439</v>
      </c>
      <c r="B160" s="46" t="s">
        <v>280</v>
      </c>
      <c r="C160" s="39" t="s">
        <v>417</v>
      </c>
      <c r="D160" s="72">
        <v>171868795</v>
      </c>
      <c r="E160" s="73">
        <v>9194323329</v>
      </c>
      <c r="F160" s="39" t="s">
        <v>256</v>
      </c>
      <c r="G160" s="49">
        <v>34080</v>
      </c>
      <c r="H160" s="50" t="str">
        <f t="shared" si="4"/>
        <v>Apr</v>
      </c>
      <c r="I160" s="51">
        <f t="shared" ca="1" si="5"/>
        <v>23</v>
      </c>
      <c r="J160" s="52" t="s">
        <v>276</v>
      </c>
      <c r="K160" s="53">
        <v>38830</v>
      </c>
      <c r="L160" s="54">
        <v>4</v>
      </c>
      <c r="M160" s="55"/>
    </row>
    <row r="161" spans="1:14" x14ac:dyDescent="0.25">
      <c r="A161" s="39" t="s">
        <v>440</v>
      </c>
      <c r="B161" s="46" t="s">
        <v>285</v>
      </c>
      <c r="C161" s="39" t="s">
        <v>417</v>
      </c>
      <c r="D161" s="72">
        <v>659929807</v>
      </c>
      <c r="E161" s="73">
        <v>9193089561</v>
      </c>
      <c r="F161" s="39" t="s">
        <v>256</v>
      </c>
      <c r="G161" s="49">
        <v>39754</v>
      </c>
      <c r="H161" s="50" t="str">
        <f t="shared" si="4"/>
        <v>Nov</v>
      </c>
      <c r="I161" s="51">
        <f t="shared" ca="1" si="5"/>
        <v>8</v>
      </c>
      <c r="J161" s="52" t="s">
        <v>257</v>
      </c>
      <c r="K161" s="53">
        <v>26890</v>
      </c>
      <c r="L161" s="54">
        <v>4</v>
      </c>
      <c r="M161" s="55"/>
    </row>
    <row r="162" spans="1:14" x14ac:dyDescent="0.25">
      <c r="A162" s="39" t="s">
        <v>441</v>
      </c>
      <c r="B162" s="46" t="s">
        <v>271</v>
      </c>
      <c r="C162" s="39" t="s">
        <v>417</v>
      </c>
      <c r="D162" s="72">
        <v>113699123</v>
      </c>
      <c r="E162" s="73">
        <v>2526563683</v>
      </c>
      <c r="F162" s="39" t="s">
        <v>256</v>
      </c>
      <c r="G162" s="49">
        <v>34118</v>
      </c>
      <c r="H162" s="50" t="str">
        <f t="shared" si="4"/>
        <v>May</v>
      </c>
      <c r="I162" s="51">
        <f t="shared" ca="1" si="5"/>
        <v>23</v>
      </c>
      <c r="J162" s="52" t="s">
        <v>267</v>
      </c>
      <c r="K162" s="53">
        <v>42430</v>
      </c>
      <c r="L162" s="54">
        <v>5</v>
      </c>
      <c r="M162" s="55"/>
    </row>
    <row r="163" spans="1:14" x14ac:dyDescent="0.25">
      <c r="A163" s="39" t="s">
        <v>442</v>
      </c>
      <c r="B163" s="46" t="s">
        <v>271</v>
      </c>
      <c r="C163" s="39" t="s">
        <v>417</v>
      </c>
      <c r="D163" s="72">
        <v>249760737</v>
      </c>
      <c r="E163" s="73">
        <v>2522969056</v>
      </c>
      <c r="F163" s="39" t="s">
        <v>247</v>
      </c>
      <c r="G163" s="49">
        <v>34950</v>
      </c>
      <c r="H163" s="50" t="str">
        <f t="shared" si="4"/>
        <v>Sep</v>
      </c>
      <c r="I163" s="51">
        <f t="shared" ca="1" si="5"/>
        <v>21</v>
      </c>
      <c r="J163" s="52"/>
      <c r="K163" s="53">
        <v>97280</v>
      </c>
      <c r="L163" s="54">
        <v>5</v>
      </c>
      <c r="M163" s="55"/>
    </row>
    <row r="164" spans="1:14" x14ac:dyDescent="0.25">
      <c r="A164" s="39" t="s">
        <v>443</v>
      </c>
      <c r="B164" s="46" t="s">
        <v>285</v>
      </c>
      <c r="C164" s="39" t="s">
        <v>417</v>
      </c>
      <c r="D164" s="72">
        <v>536516131</v>
      </c>
      <c r="E164" s="73">
        <v>2524442207</v>
      </c>
      <c r="F164" s="39" t="s">
        <v>256</v>
      </c>
      <c r="G164" s="49">
        <v>41471</v>
      </c>
      <c r="H164" s="50" t="str">
        <f t="shared" si="4"/>
        <v>Jul</v>
      </c>
      <c r="I164" s="51">
        <f t="shared" ca="1" si="5"/>
        <v>3</v>
      </c>
      <c r="J164" s="52" t="s">
        <v>283</v>
      </c>
      <c r="K164" s="53">
        <v>51140</v>
      </c>
      <c r="L164" s="54">
        <v>3</v>
      </c>
      <c r="M164" s="55"/>
    </row>
    <row r="165" spans="1:14" x14ac:dyDescent="0.25">
      <c r="A165" s="39" t="s">
        <v>444</v>
      </c>
      <c r="B165" s="46" t="s">
        <v>245</v>
      </c>
      <c r="C165" s="39" t="s">
        <v>417</v>
      </c>
      <c r="D165" s="72">
        <v>932787692</v>
      </c>
      <c r="E165" s="73">
        <v>2522612740</v>
      </c>
      <c r="F165" s="39" t="s">
        <v>247</v>
      </c>
      <c r="G165" s="49">
        <v>35162</v>
      </c>
      <c r="H165" s="50" t="str">
        <f t="shared" si="4"/>
        <v>Apr</v>
      </c>
      <c r="I165" s="51">
        <f t="shared" ca="1" si="5"/>
        <v>20</v>
      </c>
      <c r="J165" s="52"/>
      <c r="K165" s="53">
        <v>76910</v>
      </c>
      <c r="L165" s="54">
        <v>2</v>
      </c>
      <c r="M165" s="55"/>
    </row>
    <row r="166" spans="1:14" x14ac:dyDescent="0.25">
      <c r="A166" s="39" t="s">
        <v>445</v>
      </c>
      <c r="B166" s="46" t="s">
        <v>285</v>
      </c>
      <c r="C166" s="39" t="s">
        <v>417</v>
      </c>
      <c r="D166" s="72">
        <v>116869057</v>
      </c>
      <c r="E166" s="73">
        <v>2521614846</v>
      </c>
      <c r="F166" s="39" t="s">
        <v>261</v>
      </c>
      <c r="G166" s="49">
        <v>35756</v>
      </c>
      <c r="H166" s="50" t="str">
        <f t="shared" si="4"/>
        <v>Nov</v>
      </c>
      <c r="I166" s="51">
        <f t="shared" ca="1" si="5"/>
        <v>18</v>
      </c>
      <c r="J166" s="52" t="s">
        <v>267</v>
      </c>
      <c r="K166" s="53">
        <v>18010</v>
      </c>
      <c r="L166" s="54">
        <v>4</v>
      </c>
      <c r="M166" s="55"/>
      <c r="N166" s="63"/>
    </row>
    <row r="167" spans="1:14" x14ac:dyDescent="0.25">
      <c r="A167" s="39" t="s">
        <v>446</v>
      </c>
      <c r="B167" s="46" t="s">
        <v>251</v>
      </c>
      <c r="C167" s="39" t="s">
        <v>417</v>
      </c>
      <c r="D167" s="72">
        <v>105708355</v>
      </c>
      <c r="E167" s="73">
        <v>2524697218</v>
      </c>
      <c r="F167" s="39" t="s">
        <v>256</v>
      </c>
      <c r="G167" s="49">
        <v>36990</v>
      </c>
      <c r="H167" s="50" t="str">
        <f t="shared" si="4"/>
        <v>Apr</v>
      </c>
      <c r="I167" s="51">
        <f t="shared" ca="1" si="5"/>
        <v>15</v>
      </c>
      <c r="J167" s="52" t="s">
        <v>262</v>
      </c>
      <c r="K167" s="53">
        <v>85210</v>
      </c>
      <c r="L167" s="54">
        <v>5</v>
      </c>
      <c r="M167" s="55"/>
    </row>
    <row r="168" spans="1:14" x14ac:dyDescent="0.25">
      <c r="A168" s="39" t="s">
        <v>447</v>
      </c>
      <c r="B168" s="46" t="s">
        <v>285</v>
      </c>
      <c r="C168" s="39" t="s">
        <v>417</v>
      </c>
      <c r="D168" s="72">
        <v>659766304</v>
      </c>
      <c r="E168" s="73">
        <v>9195876028</v>
      </c>
      <c r="F168" s="39" t="s">
        <v>256</v>
      </c>
      <c r="G168" s="49">
        <v>36502</v>
      </c>
      <c r="H168" s="50" t="str">
        <f t="shared" si="4"/>
        <v>Dec</v>
      </c>
      <c r="I168" s="51">
        <f t="shared" ca="1" si="5"/>
        <v>16</v>
      </c>
      <c r="J168" s="52" t="s">
        <v>283</v>
      </c>
      <c r="K168" s="53">
        <v>45300</v>
      </c>
      <c r="L168" s="54">
        <v>5</v>
      </c>
      <c r="M168" s="55"/>
    </row>
    <row r="169" spans="1:14" x14ac:dyDescent="0.25">
      <c r="A169" s="39" t="s">
        <v>448</v>
      </c>
      <c r="B169" s="46" t="s">
        <v>271</v>
      </c>
      <c r="C169" s="39" t="s">
        <v>417</v>
      </c>
      <c r="D169" s="72">
        <v>232896341</v>
      </c>
      <c r="E169" s="73">
        <v>9197288082</v>
      </c>
      <c r="F169" s="39" t="s">
        <v>247</v>
      </c>
      <c r="G169" s="49">
        <v>41237</v>
      </c>
      <c r="H169" s="50" t="str">
        <f t="shared" si="4"/>
        <v>Nov</v>
      </c>
      <c r="I169" s="51">
        <f t="shared" ca="1" si="5"/>
        <v>3</v>
      </c>
      <c r="J169" s="52"/>
      <c r="K169" s="53">
        <v>55000</v>
      </c>
      <c r="L169" s="54">
        <v>4</v>
      </c>
      <c r="M169" s="55"/>
    </row>
    <row r="170" spans="1:14" x14ac:dyDescent="0.25">
      <c r="A170" s="39" t="s">
        <v>449</v>
      </c>
      <c r="B170" s="46" t="s">
        <v>251</v>
      </c>
      <c r="C170" s="39" t="s">
        <v>417</v>
      </c>
      <c r="D170" s="72">
        <v>281005046</v>
      </c>
      <c r="E170" s="73">
        <v>2527051004</v>
      </c>
      <c r="F170" s="39" t="s">
        <v>247</v>
      </c>
      <c r="G170" s="49">
        <v>41055</v>
      </c>
      <c r="H170" s="50" t="str">
        <f t="shared" si="4"/>
        <v>May</v>
      </c>
      <c r="I170" s="51">
        <f t="shared" ca="1" si="5"/>
        <v>4</v>
      </c>
      <c r="J170" s="52"/>
      <c r="K170" s="53">
        <v>68300</v>
      </c>
      <c r="L170" s="54">
        <v>4</v>
      </c>
      <c r="M170" s="55"/>
    </row>
    <row r="171" spans="1:14" x14ac:dyDescent="0.25">
      <c r="A171" s="39" t="s">
        <v>450</v>
      </c>
      <c r="B171" s="46" t="s">
        <v>285</v>
      </c>
      <c r="C171" s="39" t="s">
        <v>417</v>
      </c>
      <c r="D171" s="72">
        <v>302598687</v>
      </c>
      <c r="E171" s="73">
        <v>9195394899</v>
      </c>
      <c r="F171" s="39" t="s">
        <v>256</v>
      </c>
      <c r="G171" s="49">
        <v>35087</v>
      </c>
      <c r="H171" s="50" t="str">
        <f t="shared" si="4"/>
        <v>Jan</v>
      </c>
      <c r="I171" s="51">
        <f t="shared" ca="1" si="5"/>
        <v>20</v>
      </c>
      <c r="J171" s="52" t="s">
        <v>257</v>
      </c>
      <c r="K171" s="53">
        <v>38210</v>
      </c>
      <c r="L171" s="54">
        <v>1</v>
      </c>
      <c r="M171" s="55"/>
    </row>
    <row r="172" spans="1:14" x14ac:dyDescent="0.25">
      <c r="A172" s="39" t="s">
        <v>451</v>
      </c>
      <c r="B172" s="46" t="s">
        <v>271</v>
      </c>
      <c r="C172" s="39" t="s">
        <v>417</v>
      </c>
      <c r="D172" s="72">
        <v>603301910</v>
      </c>
      <c r="E172" s="73">
        <v>9196514650</v>
      </c>
      <c r="F172" s="39" t="s">
        <v>256</v>
      </c>
      <c r="G172" s="49">
        <v>35214</v>
      </c>
      <c r="H172" s="50" t="str">
        <f t="shared" si="4"/>
        <v>May</v>
      </c>
      <c r="I172" s="51">
        <f t="shared" ca="1" si="5"/>
        <v>20</v>
      </c>
      <c r="J172" s="52" t="s">
        <v>257</v>
      </c>
      <c r="K172" s="53">
        <v>87480</v>
      </c>
      <c r="L172" s="54">
        <v>3</v>
      </c>
      <c r="M172" s="55"/>
    </row>
    <row r="173" spans="1:14" x14ac:dyDescent="0.25">
      <c r="A173" s="39" t="s">
        <v>452</v>
      </c>
      <c r="B173" s="46" t="s">
        <v>285</v>
      </c>
      <c r="C173" s="39" t="s">
        <v>417</v>
      </c>
      <c r="D173" s="72">
        <v>661397587</v>
      </c>
      <c r="E173" s="73">
        <v>9196126835</v>
      </c>
      <c r="F173" s="39" t="s">
        <v>247</v>
      </c>
      <c r="G173" s="49">
        <v>35913</v>
      </c>
      <c r="H173" s="50" t="str">
        <f t="shared" si="4"/>
        <v>Apr</v>
      </c>
      <c r="I173" s="51">
        <f t="shared" ca="1" si="5"/>
        <v>18</v>
      </c>
      <c r="J173" s="52"/>
      <c r="K173" s="53">
        <v>48670</v>
      </c>
      <c r="L173" s="54">
        <v>5</v>
      </c>
      <c r="M173" s="55"/>
    </row>
    <row r="174" spans="1:14" x14ac:dyDescent="0.25">
      <c r="A174" s="39" t="s">
        <v>453</v>
      </c>
      <c r="B174" s="46" t="s">
        <v>271</v>
      </c>
      <c r="C174" s="39" t="s">
        <v>417</v>
      </c>
      <c r="D174" s="72">
        <v>622274162</v>
      </c>
      <c r="E174" s="73">
        <v>9191264786</v>
      </c>
      <c r="F174" s="39" t="s">
        <v>247</v>
      </c>
      <c r="G174" s="49">
        <v>35772</v>
      </c>
      <c r="H174" s="50" t="str">
        <f t="shared" si="4"/>
        <v>Dec</v>
      </c>
      <c r="I174" s="51">
        <f t="shared" ca="1" si="5"/>
        <v>18</v>
      </c>
      <c r="J174" s="52"/>
      <c r="K174" s="53">
        <v>31630</v>
      </c>
      <c r="L174" s="54">
        <v>4</v>
      </c>
      <c r="M174" s="55"/>
    </row>
    <row r="175" spans="1:14" x14ac:dyDescent="0.25">
      <c r="A175" s="39" t="s">
        <v>454</v>
      </c>
      <c r="B175" s="46" t="s">
        <v>271</v>
      </c>
      <c r="C175" s="39" t="s">
        <v>417</v>
      </c>
      <c r="D175" s="72">
        <v>625531462</v>
      </c>
      <c r="E175" s="73">
        <v>2527553017</v>
      </c>
      <c r="F175" s="39" t="s">
        <v>256</v>
      </c>
      <c r="G175" s="49">
        <v>38289</v>
      </c>
      <c r="H175" s="50" t="str">
        <f t="shared" si="4"/>
        <v>Oct</v>
      </c>
      <c r="I175" s="51">
        <f t="shared" ca="1" si="5"/>
        <v>12</v>
      </c>
      <c r="J175" s="52" t="s">
        <v>257</v>
      </c>
      <c r="K175" s="53">
        <v>50980</v>
      </c>
      <c r="L175" s="54">
        <v>3</v>
      </c>
      <c r="M175" s="55"/>
    </row>
    <row r="176" spans="1:14" x14ac:dyDescent="0.25">
      <c r="A176" s="39" t="s">
        <v>455</v>
      </c>
      <c r="B176" s="46" t="s">
        <v>251</v>
      </c>
      <c r="C176" s="39" t="s">
        <v>456</v>
      </c>
      <c r="D176" s="72">
        <v>117896630</v>
      </c>
      <c r="E176" s="73">
        <v>9197173558</v>
      </c>
      <c r="F176" s="39" t="s">
        <v>247</v>
      </c>
      <c r="G176" s="49">
        <v>41264</v>
      </c>
      <c r="H176" s="50" t="str">
        <f t="shared" si="4"/>
        <v>Dec</v>
      </c>
      <c r="I176" s="51">
        <f t="shared" ca="1" si="5"/>
        <v>3</v>
      </c>
      <c r="J176" s="52" t="s">
        <v>267</v>
      </c>
      <c r="K176" s="53">
        <v>85430</v>
      </c>
      <c r="L176" s="54">
        <v>4</v>
      </c>
      <c r="M176" s="55"/>
    </row>
    <row r="177" spans="1:13" x14ac:dyDescent="0.25">
      <c r="A177" s="39" t="s">
        <v>457</v>
      </c>
      <c r="B177" s="46" t="s">
        <v>271</v>
      </c>
      <c r="C177" s="39" t="s">
        <v>456</v>
      </c>
      <c r="D177" s="72">
        <v>351268538</v>
      </c>
      <c r="E177" s="73">
        <v>2525610944</v>
      </c>
      <c r="F177" s="39" t="s">
        <v>252</v>
      </c>
      <c r="G177" s="49">
        <v>37520</v>
      </c>
      <c r="H177" s="50" t="str">
        <f t="shared" si="4"/>
        <v>Sep</v>
      </c>
      <c r="I177" s="51">
        <f t="shared" ca="1" si="5"/>
        <v>14</v>
      </c>
      <c r="J177" s="52" t="s">
        <v>283</v>
      </c>
      <c r="K177" s="53">
        <v>74230</v>
      </c>
      <c r="L177" s="54">
        <v>5</v>
      </c>
      <c r="M177" s="55"/>
    </row>
    <row r="178" spans="1:13" x14ac:dyDescent="0.25">
      <c r="A178" s="39" t="s">
        <v>458</v>
      </c>
      <c r="B178" s="46" t="s">
        <v>285</v>
      </c>
      <c r="C178" s="39" t="s">
        <v>456</v>
      </c>
      <c r="D178" s="72">
        <v>771953685</v>
      </c>
      <c r="E178" s="73">
        <v>2526739978</v>
      </c>
      <c r="F178" s="39" t="s">
        <v>252</v>
      </c>
      <c r="G178" s="49">
        <v>38947</v>
      </c>
      <c r="H178" s="50" t="str">
        <f t="shared" si="4"/>
        <v>Aug</v>
      </c>
      <c r="I178" s="51">
        <f t="shared" ca="1" si="5"/>
        <v>10</v>
      </c>
      <c r="J178" s="52" t="s">
        <v>257</v>
      </c>
      <c r="K178" s="53">
        <v>102160</v>
      </c>
      <c r="L178" s="54">
        <v>5</v>
      </c>
      <c r="M178" s="55"/>
    </row>
    <row r="179" spans="1:13" x14ac:dyDescent="0.25">
      <c r="A179" s="39" t="s">
        <v>459</v>
      </c>
      <c r="B179" s="46" t="s">
        <v>285</v>
      </c>
      <c r="C179" s="39" t="s">
        <v>456</v>
      </c>
      <c r="D179" s="72">
        <v>875920441</v>
      </c>
      <c r="E179" s="73">
        <v>9191715499</v>
      </c>
      <c r="F179" s="39" t="s">
        <v>261</v>
      </c>
      <c r="G179" s="49">
        <v>38506</v>
      </c>
      <c r="H179" s="50" t="str">
        <f t="shared" si="4"/>
        <v>Jun</v>
      </c>
      <c r="I179" s="51">
        <f t="shared" ca="1" si="5"/>
        <v>11</v>
      </c>
      <c r="J179" s="52" t="s">
        <v>276</v>
      </c>
      <c r="K179" s="53">
        <v>62160</v>
      </c>
      <c r="L179" s="54">
        <v>1</v>
      </c>
      <c r="M179" s="55"/>
    </row>
    <row r="180" spans="1:13" x14ac:dyDescent="0.25">
      <c r="A180" s="39" t="s">
        <v>460</v>
      </c>
      <c r="B180" s="46" t="s">
        <v>280</v>
      </c>
      <c r="C180" s="39" t="s">
        <v>456</v>
      </c>
      <c r="D180" s="72">
        <v>477110649</v>
      </c>
      <c r="E180" s="73">
        <v>9191351512</v>
      </c>
      <c r="F180" s="39" t="s">
        <v>256</v>
      </c>
      <c r="G180" s="49">
        <v>38044</v>
      </c>
      <c r="H180" s="50" t="str">
        <f t="shared" si="4"/>
        <v>Feb</v>
      </c>
      <c r="I180" s="51">
        <f t="shared" ca="1" si="5"/>
        <v>12</v>
      </c>
      <c r="J180" s="52" t="s">
        <v>262</v>
      </c>
      <c r="K180" s="53">
        <v>54180</v>
      </c>
      <c r="L180" s="54">
        <v>1</v>
      </c>
      <c r="M180" s="55"/>
    </row>
    <row r="181" spans="1:13" x14ac:dyDescent="0.25">
      <c r="A181" s="39" t="s">
        <v>461</v>
      </c>
      <c r="B181" s="46" t="s">
        <v>280</v>
      </c>
      <c r="C181" s="39" t="s">
        <v>456</v>
      </c>
      <c r="D181" s="72">
        <v>746497232</v>
      </c>
      <c r="E181" s="73">
        <v>9196681578</v>
      </c>
      <c r="F181" s="39" t="s">
        <v>247</v>
      </c>
      <c r="G181" s="49">
        <v>37674</v>
      </c>
      <c r="H181" s="50" t="str">
        <f t="shared" si="4"/>
        <v>Feb</v>
      </c>
      <c r="I181" s="51">
        <f t="shared" ca="1" si="5"/>
        <v>13</v>
      </c>
      <c r="J181" s="52" t="s">
        <v>283</v>
      </c>
      <c r="K181" s="53">
        <v>83290</v>
      </c>
      <c r="L181" s="54">
        <v>4</v>
      </c>
      <c r="M181" s="55"/>
    </row>
    <row r="182" spans="1:13" x14ac:dyDescent="0.25">
      <c r="A182" s="39" t="s">
        <v>462</v>
      </c>
      <c r="B182" s="46" t="s">
        <v>271</v>
      </c>
      <c r="C182" s="39" t="s">
        <v>456</v>
      </c>
      <c r="D182" s="72">
        <v>861884260</v>
      </c>
      <c r="E182" s="73">
        <v>9196632360</v>
      </c>
      <c r="F182" s="39" t="s">
        <v>256</v>
      </c>
      <c r="G182" s="49">
        <v>34386</v>
      </c>
      <c r="H182" s="50" t="str">
        <f t="shared" si="4"/>
        <v>Feb</v>
      </c>
      <c r="I182" s="51">
        <f t="shared" ca="1" si="5"/>
        <v>22</v>
      </c>
      <c r="J182" s="52" t="s">
        <v>257</v>
      </c>
      <c r="K182" s="53">
        <v>106970</v>
      </c>
      <c r="L182" s="54">
        <v>1</v>
      </c>
      <c r="M182" s="55"/>
    </row>
    <row r="183" spans="1:13" x14ac:dyDescent="0.25">
      <c r="A183" s="39" t="s">
        <v>463</v>
      </c>
      <c r="B183" s="46" t="s">
        <v>271</v>
      </c>
      <c r="C183" s="39" t="s">
        <v>456</v>
      </c>
      <c r="D183" s="72">
        <v>244171882</v>
      </c>
      <c r="E183" s="73">
        <v>2527577867</v>
      </c>
      <c r="F183" s="39" t="s">
        <v>261</v>
      </c>
      <c r="G183" s="49">
        <v>35402</v>
      </c>
      <c r="H183" s="50" t="str">
        <f t="shared" si="4"/>
        <v>Dec</v>
      </c>
      <c r="I183" s="51">
        <f t="shared" ca="1" si="5"/>
        <v>19</v>
      </c>
      <c r="J183" s="52" t="s">
        <v>267</v>
      </c>
      <c r="K183" s="53">
        <v>107740</v>
      </c>
      <c r="L183" s="54">
        <v>4</v>
      </c>
      <c r="M183" s="55"/>
    </row>
    <row r="184" spans="1:13" x14ac:dyDescent="0.25">
      <c r="A184" s="39" t="s">
        <v>464</v>
      </c>
      <c r="B184" s="46" t="s">
        <v>271</v>
      </c>
      <c r="C184" s="39" t="s">
        <v>465</v>
      </c>
      <c r="D184" s="72">
        <v>501523688</v>
      </c>
      <c r="E184" s="73">
        <v>2528560698</v>
      </c>
      <c r="F184" s="39" t="s">
        <v>256</v>
      </c>
      <c r="G184" s="49">
        <v>36521</v>
      </c>
      <c r="H184" s="50" t="str">
        <f t="shared" si="4"/>
        <v>Dec</v>
      </c>
      <c r="I184" s="51">
        <f t="shared" ca="1" si="5"/>
        <v>16</v>
      </c>
      <c r="J184" s="52" t="s">
        <v>257</v>
      </c>
      <c r="K184" s="53">
        <v>95680</v>
      </c>
      <c r="L184" s="54">
        <v>2</v>
      </c>
      <c r="M184" s="55"/>
    </row>
    <row r="185" spans="1:13" x14ac:dyDescent="0.25">
      <c r="A185" s="39" t="s">
        <v>466</v>
      </c>
      <c r="B185" s="46" t="s">
        <v>285</v>
      </c>
      <c r="C185" s="39" t="s">
        <v>465</v>
      </c>
      <c r="D185" s="72">
        <v>722630791</v>
      </c>
      <c r="E185" s="73">
        <v>2522263363</v>
      </c>
      <c r="F185" s="39" t="s">
        <v>252</v>
      </c>
      <c r="G185" s="49">
        <v>36983</v>
      </c>
      <c r="H185" s="50" t="str">
        <f t="shared" si="4"/>
        <v>Apr</v>
      </c>
      <c r="I185" s="51">
        <f t="shared" ca="1" si="5"/>
        <v>15</v>
      </c>
      <c r="J185" s="52"/>
      <c r="K185" s="53">
        <v>10680</v>
      </c>
      <c r="L185" s="54">
        <v>3</v>
      </c>
      <c r="M185" s="55"/>
    </row>
    <row r="186" spans="1:13" x14ac:dyDescent="0.25">
      <c r="A186" s="39" t="s">
        <v>467</v>
      </c>
      <c r="B186" s="46" t="s">
        <v>271</v>
      </c>
      <c r="C186" s="39" t="s">
        <v>465</v>
      </c>
      <c r="D186" s="72">
        <v>592631929</v>
      </c>
      <c r="E186" s="73">
        <v>2523922629</v>
      </c>
      <c r="F186" s="39" t="s">
        <v>247</v>
      </c>
      <c r="G186" s="49">
        <v>36350</v>
      </c>
      <c r="H186" s="50" t="str">
        <f t="shared" si="4"/>
        <v>Jul</v>
      </c>
      <c r="I186" s="51">
        <f t="shared" ca="1" si="5"/>
        <v>17</v>
      </c>
      <c r="J186" s="52"/>
      <c r="K186" s="53">
        <v>63530</v>
      </c>
      <c r="L186" s="54">
        <v>4</v>
      </c>
      <c r="M186" s="55"/>
    </row>
    <row r="187" spans="1:13" x14ac:dyDescent="0.25">
      <c r="A187" s="39" t="s">
        <v>468</v>
      </c>
      <c r="B187" s="46" t="s">
        <v>285</v>
      </c>
      <c r="C187" s="39" t="s">
        <v>465</v>
      </c>
      <c r="D187" s="72">
        <v>319449613</v>
      </c>
      <c r="E187" s="73">
        <v>2523454032</v>
      </c>
      <c r="F187" s="39" t="s">
        <v>256</v>
      </c>
      <c r="G187" s="49">
        <v>37333</v>
      </c>
      <c r="H187" s="50" t="str">
        <f t="shared" si="4"/>
        <v>Mar</v>
      </c>
      <c r="I187" s="51">
        <f t="shared" ca="1" si="5"/>
        <v>14</v>
      </c>
      <c r="J187" s="52" t="s">
        <v>267</v>
      </c>
      <c r="K187" s="53">
        <v>45310</v>
      </c>
      <c r="L187" s="54">
        <v>2</v>
      </c>
      <c r="M187" s="55"/>
    </row>
    <row r="188" spans="1:13" x14ac:dyDescent="0.25">
      <c r="A188" s="39" t="s">
        <v>469</v>
      </c>
      <c r="B188" s="46" t="s">
        <v>245</v>
      </c>
      <c r="C188" s="39" t="s">
        <v>465</v>
      </c>
      <c r="D188" s="72">
        <v>865073824</v>
      </c>
      <c r="E188" s="73">
        <v>2524785979</v>
      </c>
      <c r="F188" s="39" t="s">
        <v>256</v>
      </c>
      <c r="G188" s="49">
        <v>35542</v>
      </c>
      <c r="H188" s="50" t="str">
        <f t="shared" si="4"/>
        <v>Apr</v>
      </c>
      <c r="I188" s="51">
        <f t="shared" ca="1" si="5"/>
        <v>19</v>
      </c>
      <c r="J188" s="52" t="s">
        <v>276</v>
      </c>
      <c r="K188" s="53">
        <v>41380</v>
      </c>
      <c r="L188" s="54">
        <v>3</v>
      </c>
      <c r="M188" s="55"/>
    </row>
    <row r="189" spans="1:13" x14ac:dyDescent="0.25">
      <c r="A189" s="39" t="s">
        <v>470</v>
      </c>
      <c r="B189" s="46" t="s">
        <v>285</v>
      </c>
      <c r="C189" s="39" t="s">
        <v>465</v>
      </c>
      <c r="D189" s="72">
        <v>894030119</v>
      </c>
      <c r="E189" s="73">
        <v>2528652588</v>
      </c>
      <c r="F189" s="39" t="s">
        <v>256</v>
      </c>
      <c r="G189" s="49">
        <v>38069</v>
      </c>
      <c r="H189" s="50" t="str">
        <f t="shared" si="4"/>
        <v>Mar</v>
      </c>
      <c r="I189" s="51">
        <f t="shared" ca="1" si="5"/>
        <v>12</v>
      </c>
      <c r="J189" s="52" t="s">
        <v>262</v>
      </c>
      <c r="K189" s="53">
        <v>79210</v>
      </c>
      <c r="L189" s="54">
        <v>5</v>
      </c>
      <c r="M189" s="55"/>
    </row>
    <row r="190" spans="1:13" x14ac:dyDescent="0.25">
      <c r="A190" s="39" t="s">
        <v>471</v>
      </c>
      <c r="B190" s="46" t="s">
        <v>251</v>
      </c>
      <c r="C190" s="39" t="s">
        <v>465</v>
      </c>
      <c r="D190" s="72">
        <v>100679868</v>
      </c>
      <c r="E190" s="73">
        <v>9198082183</v>
      </c>
      <c r="F190" s="39" t="s">
        <v>261</v>
      </c>
      <c r="G190" s="49">
        <v>36808</v>
      </c>
      <c r="H190" s="50" t="str">
        <f t="shared" si="4"/>
        <v>Oct</v>
      </c>
      <c r="I190" s="51">
        <f t="shared" ca="1" si="5"/>
        <v>16</v>
      </c>
      <c r="J190" s="52" t="s">
        <v>257</v>
      </c>
      <c r="K190" s="53">
        <v>58600</v>
      </c>
      <c r="L190" s="54">
        <v>5</v>
      </c>
      <c r="M190" s="55"/>
    </row>
    <row r="191" spans="1:13" x14ac:dyDescent="0.25">
      <c r="A191" s="39" t="s">
        <v>472</v>
      </c>
      <c r="B191" s="46" t="s">
        <v>280</v>
      </c>
      <c r="C191" s="39" t="s">
        <v>465</v>
      </c>
      <c r="D191" s="72">
        <v>647552282</v>
      </c>
      <c r="E191" s="73">
        <v>9193392642</v>
      </c>
      <c r="F191" s="39" t="s">
        <v>247</v>
      </c>
      <c r="G191" s="49">
        <v>35266</v>
      </c>
      <c r="H191" s="50" t="str">
        <f t="shared" si="4"/>
        <v>Jul</v>
      </c>
      <c r="I191" s="51">
        <f t="shared" ca="1" si="5"/>
        <v>20</v>
      </c>
      <c r="J191" s="52"/>
      <c r="K191" s="53">
        <v>42550</v>
      </c>
      <c r="L191" s="54">
        <v>3</v>
      </c>
      <c r="M191" s="55"/>
    </row>
    <row r="192" spans="1:13" x14ac:dyDescent="0.25">
      <c r="A192" s="39" t="s">
        <v>473</v>
      </c>
      <c r="B192" s="46" t="s">
        <v>266</v>
      </c>
      <c r="C192" s="39" t="s">
        <v>465</v>
      </c>
      <c r="D192" s="72">
        <v>906321388</v>
      </c>
      <c r="E192" s="73">
        <v>2527919826</v>
      </c>
      <c r="F192" s="39" t="s">
        <v>247</v>
      </c>
      <c r="G192" s="49">
        <v>36361</v>
      </c>
      <c r="H192" s="50" t="str">
        <f t="shared" si="4"/>
        <v>Jul</v>
      </c>
      <c r="I192" s="51">
        <f t="shared" ca="1" si="5"/>
        <v>17</v>
      </c>
      <c r="J192" s="52"/>
      <c r="K192" s="53">
        <v>33910</v>
      </c>
      <c r="L192" s="54">
        <v>5</v>
      </c>
      <c r="M192" s="55"/>
    </row>
    <row r="193" spans="1:13" x14ac:dyDescent="0.25">
      <c r="A193" s="39" t="s">
        <v>474</v>
      </c>
      <c r="B193" s="46" t="s">
        <v>251</v>
      </c>
      <c r="C193" s="39" t="s">
        <v>465</v>
      </c>
      <c r="D193" s="72">
        <v>884025623</v>
      </c>
      <c r="E193" s="73">
        <v>2521280865</v>
      </c>
      <c r="F193" s="39" t="s">
        <v>247</v>
      </c>
      <c r="G193" s="49">
        <v>35032</v>
      </c>
      <c r="H193" s="50" t="str">
        <f t="shared" si="4"/>
        <v>Nov</v>
      </c>
      <c r="I193" s="51">
        <f t="shared" ca="1" si="5"/>
        <v>20</v>
      </c>
      <c r="J193" s="52"/>
      <c r="K193" s="53">
        <v>77320</v>
      </c>
      <c r="L193" s="54">
        <v>4</v>
      </c>
      <c r="M193" s="55"/>
    </row>
    <row r="194" spans="1:13" x14ac:dyDescent="0.25">
      <c r="A194" s="39" t="s">
        <v>475</v>
      </c>
      <c r="B194" s="46" t="s">
        <v>245</v>
      </c>
      <c r="C194" s="39" t="s">
        <v>465</v>
      </c>
      <c r="D194" s="72">
        <v>318068637</v>
      </c>
      <c r="E194" s="73">
        <v>9193709408</v>
      </c>
      <c r="F194" s="39" t="s">
        <v>247</v>
      </c>
      <c r="G194" s="49">
        <v>40539</v>
      </c>
      <c r="H194" s="50" t="str">
        <f t="shared" ref="H194:H257" si="6">CHOOSE(MONTH(G194),"Jan","Feb","Mar","Apr","May","Jun","Jul","Aug","Sep","Oct","Nov","Dec")</f>
        <v>Dec</v>
      </c>
      <c r="I194" s="51">
        <f t="shared" ref="I194:I257" ca="1" si="7">DATEDIF(G194,TODAY(),"Y")</f>
        <v>5</v>
      </c>
      <c r="J194" s="52"/>
      <c r="K194" s="53">
        <v>75340</v>
      </c>
      <c r="L194" s="54">
        <v>4</v>
      </c>
      <c r="M194" s="55"/>
    </row>
    <row r="195" spans="1:13" x14ac:dyDescent="0.25">
      <c r="A195" s="39" t="s">
        <v>476</v>
      </c>
      <c r="B195" s="46" t="s">
        <v>285</v>
      </c>
      <c r="C195" s="39" t="s">
        <v>465</v>
      </c>
      <c r="D195" s="72">
        <v>356242235</v>
      </c>
      <c r="E195" s="73">
        <v>2521667727</v>
      </c>
      <c r="F195" s="39" t="s">
        <v>261</v>
      </c>
      <c r="G195" s="49">
        <v>37605</v>
      </c>
      <c r="H195" s="50" t="str">
        <f t="shared" si="6"/>
        <v>Dec</v>
      </c>
      <c r="I195" s="51">
        <f t="shared" ca="1" si="7"/>
        <v>13</v>
      </c>
      <c r="J195" s="52" t="s">
        <v>283</v>
      </c>
      <c r="K195" s="53">
        <v>56050</v>
      </c>
      <c r="L195" s="54">
        <v>3</v>
      </c>
      <c r="M195" s="55"/>
    </row>
    <row r="196" spans="1:13" x14ac:dyDescent="0.25">
      <c r="A196" s="39" t="s">
        <v>477</v>
      </c>
      <c r="B196" s="46" t="s">
        <v>245</v>
      </c>
      <c r="C196" s="39" t="s">
        <v>465</v>
      </c>
      <c r="D196" s="72">
        <v>612295735</v>
      </c>
      <c r="E196" s="73">
        <v>9195228292</v>
      </c>
      <c r="F196" s="39" t="s">
        <v>256</v>
      </c>
      <c r="G196" s="49">
        <v>36512</v>
      </c>
      <c r="H196" s="50" t="str">
        <f t="shared" si="6"/>
        <v>Dec</v>
      </c>
      <c r="I196" s="51">
        <f t="shared" ca="1" si="7"/>
        <v>16</v>
      </c>
      <c r="J196" s="52" t="s">
        <v>283</v>
      </c>
      <c r="K196" s="53">
        <v>87770</v>
      </c>
      <c r="L196" s="54">
        <v>5</v>
      </c>
      <c r="M196" s="55"/>
    </row>
    <row r="197" spans="1:13" x14ac:dyDescent="0.25">
      <c r="A197" s="39" t="s">
        <v>478</v>
      </c>
      <c r="B197" s="46" t="s">
        <v>285</v>
      </c>
      <c r="C197" s="39" t="s">
        <v>465</v>
      </c>
      <c r="D197" s="72">
        <v>725801036</v>
      </c>
      <c r="E197" s="73">
        <v>9195089157</v>
      </c>
      <c r="F197" s="39" t="s">
        <v>247</v>
      </c>
      <c r="G197" s="49">
        <v>36973</v>
      </c>
      <c r="H197" s="50" t="str">
        <f t="shared" si="6"/>
        <v>Mar</v>
      </c>
      <c r="I197" s="51">
        <f t="shared" ca="1" si="7"/>
        <v>15</v>
      </c>
      <c r="J197" s="52"/>
      <c r="K197" s="53">
        <v>86050</v>
      </c>
      <c r="L197" s="54">
        <v>5</v>
      </c>
      <c r="M197" s="55"/>
    </row>
    <row r="198" spans="1:13" x14ac:dyDescent="0.25">
      <c r="A198" s="39" t="s">
        <v>479</v>
      </c>
      <c r="B198" s="46" t="s">
        <v>271</v>
      </c>
      <c r="C198" s="39" t="s">
        <v>465</v>
      </c>
      <c r="D198" s="72">
        <v>415299442</v>
      </c>
      <c r="E198" s="73">
        <v>2521408985</v>
      </c>
      <c r="F198" s="39" t="s">
        <v>256</v>
      </c>
      <c r="G198" s="49">
        <v>40697</v>
      </c>
      <c r="H198" s="50" t="str">
        <f t="shared" si="6"/>
        <v>Jun</v>
      </c>
      <c r="I198" s="51">
        <f t="shared" ca="1" si="7"/>
        <v>5</v>
      </c>
      <c r="J198" s="52" t="s">
        <v>257</v>
      </c>
      <c r="K198" s="53">
        <v>83180</v>
      </c>
      <c r="L198" s="54">
        <v>3</v>
      </c>
      <c r="M198" s="55"/>
    </row>
    <row r="199" spans="1:13" x14ac:dyDescent="0.25">
      <c r="A199" s="39" t="s">
        <v>480</v>
      </c>
      <c r="B199" s="46" t="s">
        <v>271</v>
      </c>
      <c r="C199" s="39" t="s">
        <v>465</v>
      </c>
      <c r="D199" s="72">
        <v>387517948</v>
      </c>
      <c r="E199" s="73">
        <v>9198213594</v>
      </c>
      <c r="F199" s="39" t="s">
        <v>256</v>
      </c>
      <c r="G199" s="49">
        <v>41635</v>
      </c>
      <c r="H199" s="50" t="str">
        <f t="shared" si="6"/>
        <v>Dec</v>
      </c>
      <c r="I199" s="51">
        <f t="shared" ca="1" si="7"/>
        <v>2</v>
      </c>
      <c r="J199" s="52" t="s">
        <v>257</v>
      </c>
      <c r="K199" s="53">
        <v>56930</v>
      </c>
      <c r="L199" s="54">
        <v>3</v>
      </c>
      <c r="M199" s="55"/>
    </row>
    <row r="200" spans="1:13" x14ac:dyDescent="0.25">
      <c r="A200" s="39" t="s">
        <v>481</v>
      </c>
      <c r="B200" s="46" t="s">
        <v>245</v>
      </c>
      <c r="C200" s="39" t="s">
        <v>465</v>
      </c>
      <c r="D200" s="72">
        <v>466947318</v>
      </c>
      <c r="E200" s="73">
        <v>9191765611</v>
      </c>
      <c r="F200" s="39" t="s">
        <v>256</v>
      </c>
      <c r="G200" s="49">
        <v>41579</v>
      </c>
      <c r="H200" s="50" t="str">
        <f t="shared" si="6"/>
        <v>Nov</v>
      </c>
      <c r="I200" s="51">
        <f t="shared" ca="1" si="7"/>
        <v>3</v>
      </c>
      <c r="J200" s="52" t="s">
        <v>257</v>
      </c>
      <c r="K200" s="53">
        <v>52580</v>
      </c>
      <c r="L200" s="54">
        <v>2</v>
      </c>
      <c r="M200" s="55"/>
    </row>
    <row r="201" spans="1:13" x14ac:dyDescent="0.25">
      <c r="A201" s="39" t="s">
        <v>482</v>
      </c>
      <c r="B201" s="46" t="s">
        <v>251</v>
      </c>
      <c r="C201" s="39" t="s">
        <v>465</v>
      </c>
      <c r="D201" s="72">
        <v>682907379</v>
      </c>
      <c r="E201" s="73">
        <v>2521854525</v>
      </c>
      <c r="F201" s="39" t="s">
        <v>256</v>
      </c>
      <c r="G201" s="49">
        <v>36312</v>
      </c>
      <c r="H201" s="50" t="str">
        <f t="shared" si="6"/>
        <v>Jun</v>
      </c>
      <c r="I201" s="51">
        <f t="shared" ca="1" si="7"/>
        <v>17</v>
      </c>
      <c r="J201" s="52" t="s">
        <v>267</v>
      </c>
      <c r="K201" s="53">
        <v>47420</v>
      </c>
      <c r="L201" s="54">
        <v>5</v>
      </c>
      <c r="M201" s="55"/>
    </row>
    <row r="202" spans="1:13" x14ac:dyDescent="0.25">
      <c r="A202" s="39" t="s">
        <v>483</v>
      </c>
      <c r="B202" s="46" t="s">
        <v>280</v>
      </c>
      <c r="C202" s="39" t="s">
        <v>465</v>
      </c>
      <c r="D202" s="72">
        <v>826450563</v>
      </c>
      <c r="E202" s="73">
        <v>9196607355</v>
      </c>
      <c r="F202" s="39" t="s">
        <v>247</v>
      </c>
      <c r="G202" s="49">
        <v>37705</v>
      </c>
      <c r="H202" s="50" t="str">
        <f t="shared" si="6"/>
        <v>Mar</v>
      </c>
      <c r="I202" s="51">
        <f t="shared" ca="1" si="7"/>
        <v>13</v>
      </c>
      <c r="J202" s="52"/>
      <c r="K202" s="53">
        <v>69310</v>
      </c>
      <c r="L202" s="54">
        <v>3</v>
      </c>
      <c r="M202" s="55"/>
    </row>
    <row r="203" spans="1:13" x14ac:dyDescent="0.25">
      <c r="A203" s="39" t="s">
        <v>484</v>
      </c>
      <c r="B203" s="46" t="s">
        <v>285</v>
      </c>
      <c r="C203" s="39" t="s">
        <v>465</v>
      </c>
      <c r="D203" s="72">
        <v>618535019</v>
      </c>
      <c r="E203" s="73">
        <v>9193695179</v>
      </c>
      <c r="F203" s="39" t="s">
        <v>256</v>
      </c>
      <c r="G203" s="49">
        <v>36933</v>
      </c>
      <c r="H203" s="50" t="str">
        <f t="shared" si="6"/>
        <v>Feb</v>
      </c>
      <c r="I203" s="51">
        <f t="shared" ca="1" si="7"/>
        <v>15</v>
      </c>
      <c r="J203" s="52" t="s">
        <v>283</v>
      </c>
      <c r="K203" s="53">
        <v>107690</v>
      </c>
      <c r="L203" s="54">
        <v>5</v>
      </c>
      <c r="M203" s="55"/>
    </row>
    <row r="204" spans="1:13" x14ac:dyDescent="0.25">
      <c r="A204" s="39" t="s">
        <v>485</v>
      </c>
      <c r="B204" s="46" t="s">
        <v>271</v>
      </c>
      <c r="C204" s="39" t="s">
        <v>465</v>
      </c>
      <c r="D204" s="72">
        <v>665773893</v>
      </c>
      <c r="E204" s="73">
        <v>9198857217</v>
      </c>
      <c r="F204" s="39" t="s">
        <v>252</v>
      </c>
      <c r="G204" s="49">
        <v>41575</v>
      </c>
      <c r="H204" s="50" t="str">
        <f t="shared" si="6"/>
        <v>Oct</v>
      </c>
      <c r="I204" s="51">
        <f t="shared" ca="1" si="7"/>
        <v>3</v>
      </c>
      <c r="J204" s="52"/>
      <c r="K204" s="53">
        <v>34110</v>
      </c>
      <c r="L204" s="54">
        <v>4</v>
      </c>
      <c r="M204" s="55"/>
    </row>
    <row r="205" spans="1:13" x14ac:dyDescent="0.25">
      <c r="A205" s="39" t="s">
        <v>486</v>
      </c>
      <c r="B205" s="46" t="s">
        <v>251</v>
      </c>
      <c r="C205" s="39" t="s">
        <v>465</v>
      </c>
      <c r="D205" s="72">
        <v>923123594</v>
      </c>
      <c r="E205" s="73">
        <v>2528669137</v>
      </c>
      <c r="F205" s="39" t="s">
        <v>256</v>
      </c>
      <c r="G205" s="49">
        <v>37199</v>
      </c>
      <c r="H205" s="50" t="str">
        <f t="shared" si="6"/>
        <v>Nov</v>
      </c>
      <c r="I205" s="51">
        <f t="shared" ca="1" si="7"/>
        <v>15</v>
      </c>
      <c r="J205" s="52" t="s">
        <v>276</v>
      </c>
      <c r="K205" s="53">
        <v>97680</v>
      </c>
      <c r="L205" s="54">
        <v>2</v>
      </c>
      <c r="M205" s="55"/>
    </row>
    <row r="206" spans="1:13" x14ac:dyDescent="0.25">
      <c r="A206" s="39" t="s">
        <v>487</v>
      </c>
      <c r="B206" s="46" t="s">
        <v>280</v>
      </c>
      <c r="C206" s="39" t="s">
        <v>465</v>
      </c>
      <c r="D206" s="72">
        <v>487810878</v>
      </c>
      <c r="E206" s="73">
        <v>9194555389</v>
      </c>
      <c r="F206" s="39" t="s">
        <v>256</v>
      </c>
      <c r="G206" s="49">
        <v>35069</v>
      </c>
      <c r="H206" s="50" t="str">
        <f t="shared" si="6"/>
        <v>Jan</v>
      </c>
      <c r="I206" s="51">
        <f t="shared" ca="1" si="7"/>
        <v>20</v>
      </c>
      <c r="J206" s="52" t="s">
        <v>283</v>
      </c>
      <c r="K206" s="53">
        <v>28000</v>
      </c>
      <c r="L206" s="54">
        <v>4</v>
      </c>
      <c r="M206" s="55"/>
    </row>
    <row r="207" spans="1:13" x14ac:dyDescent="0.25">
      <c r="A207" s="39" t="s">
        <v>488</v>
      </c>
      <c r="B207" s="46" t="s">
        <v>266</v>
      </c>
      <c r="C207" s="39" t="s">
        <v>465</v>
      </c>
      <c r="D207" s="72">
        <v>165917010</v>
      </c>
      <c r="E207" s="73">
        <v>2527038033</v>
      </c>
      <c r="F207" s="39" t="s">
        <v>247</v>
      </c>
      <c r="G207" s="49">
        <v>35672</v>
      </c>
      <c r="H207" s="50" t="str">
        <f t="shared" si="6"/>
        <v>Aug</v>
      </c>
      <c r="I207" s="51">
        <f t="shared" ca="1" si="7"/>
        <v>19</v>
      </c>
      <c r="J207" s="52"/>
      <c r="K207" s="53">
        <v>96830</v>
      </c>
      <c r="L207" s="54">
        <v>3</v>
      </c>
      <c r="M207" s="55"/>
    </row>
    <row r="208" spans="1:13" x14ac:dyDescent="0.25">
      <c r="A208" s="39" t="s">
        <v>489</v>
      </c>
      <c r="B208" s="46" t="s">
        <v>285</v>
      </c>
      <c r="C208" s="39" t="s">
        <v>465</v>
      </c>
      <c r="D208" s="72">
        <v>337370590</v>
      </c>
      <c r="E208" s="73">
        <v>9197046530</v>
      </c>
      <c r="F208" s="39" t="s">
        <v>247</v>
      </c>
      <c r="G208" s="49">
        <v>39045</v>
      </c>
      <c r="H208" s="50" t="str">
        <f t="shared" si="6"/>
        <v>Nov</v>
      </c>
      <c r="I208" s="51">
        <f t="shared" ca="1" si="7"/>
        <v>9</v>
      </c>
      <c r="J208" s="52"/>
      <c r="K208" s="53">
        <v>68890</v>
      </c>
      <c r="L208" s="54">
        <v>2</v>
      </c>
      <c r="M208" s="55"/>
    </row>
    <row r="209" spans="1:13" x14ac:dyDescent="0.25">
      <c r="A209" s="39" t="s">
        <v>490</v>
      </c>
      <c r="B209" s="46" t="s">
        <v>245</v>
      </c>
      <c r="C209" s="39" t="s">
        <v>465</v>
      </c>
      <c r="D209" s="72">
        <v>354619285</v>
      </c>
      <c r="E209" s="73">
        <v>2526657361</v>
      </c>
      <c r="F209" s="39" t="s">
        <v>256</v>
      </c>
      <c r="G209" s="49">
        <v>37123</v>
      </c>
      <c r="H209" s="50" t="str">
        <f t="shared" si="6"/>
        <v>Aug</v>
      </c>
      <c r="I209" s="51">
        <f t="shared" ca="1" si="7"/>
        <v>15</v>
      </c>
      <c r="J209" s="52" t="s">
        <v>262</v>
      </c>
      <c r="K209" s="53">
        <v>27190</v>
      </c>
      <c r="L209" s="54">
        <v>2</v>
      </c>
      <c r="M209" s="55"/>
    </row>
    <row r="210" spans="1:13" x14ac:dyDescent="0.25">
      <c r="A210" s="39" t="s">
        <v>491</v>
      </c>
      <c r="B210" s="46" t="s">
        <v>271</v>
      </c>
      <c r="C210" s="39" t="s">
        <v>465</v>
      </c>
      <c r="D210" s="72">
        <v>806508287</v>
      </c>
      <c r="E210" s="73">
        <v>2528801464</v>
      </c>
      <c r="F210" s="39" t="s">
        <v>256</v>
      </c>
      <c r="G210" s="49">
        <v>34632</v>
      </c>
      <c r="H210" s="50" t="str">
        <f t="shared" si="6"/>
        <v>Oct</v>
      </c>
      <c r="I210" s="51">
        <f t="shared" ca="1" si="7"/>
        <v>22</v>
      </c>
      <c r="J210" s="52" t="s">
        <v>257</v>
      </c>
      <c r="K210" s="53">
        <v>63530</v>
      </c>
      <c r="L210" s="54">
        <v>4</v>
      </c>
      <c r="M210" s="55"/>
    </row>
    <row r="211" spans="1:13" x14ac:dyDescent="0.25">
      <c r="A211" s="39" t="s">
        <v>492</v>
      </c>
      <c r="B211" s="46" t="s">
        <v>271</v>
      </c>
      <c r="C211" s="39" t="s">
        <v>465</v>
      </c>
      <c r="D211" s="72">
        <v>332289257</v>
      </c>
      <c r="E211" s="73">
        <v>9198367725</v>
      </c>
      <c r="F211" s="39" t="s">
        <v>247</v>
      </c>
      <c r="G211" s="49">
        <v>36993</v>
      </c>
      <c r="H211" s="50" t="str">
        <f t="shared" si="6"/>
        <v>Apr</v>
      </c>
      <c r="I211" s="51">
        <f t="shared" ca="1" si="7"/>
        <v>15</v>
      </c>
      <c r="J211" s="52"/>
      <c r="K211" s="53">
        <v>81910</v>
      </c>
      <c r="L211" s="54">
        <v>5</v>
      </c>
      <c r="M211" s="55"/>
    </row>
    <row r="212" spans="1:13" x14ac:dyDescent="0.25">
      <c r="A212" s="39" t="s">
        <v>493</v>
      </c>
      <c r="B212" s="46" t="s">
        <v>266</v>
      </c>
      <c r="C212" s="39" t="s">
        <v>465</v>
      </c>
      <c r="D212" s="72">
        <v>143534593</v>
      </c>
      <c r="E212" s="73">
        <v>2527172882</v>
      </c>
      <c r="F212" s="39" t="s">
        <v>247</v>
      </c>
      <c r="G212" s="49">
        <v>38821</v>
      </c>
      <c r="H212" s="50" t="str">
        <f t="shared" si="6"/>
        <v>Apr</v>
      </c>
      <c r="I212" s="51">
        <f t="shared" ca="1" si="7"/>
        <v>10</v>
      </c>
      <c r="J212" s="52"/>
      <c r="K212" s="53">
        <v>90500</v>
      </c>
      <c r="L212" s="54">
        <v>1</v>
      </c>
      <c r="M212" s="55"/>
    </row>
    <row r="213" spans="1:13" x14ac:dyDescent="0.25">
      <c r="A213" s="39" t="s">
        <v>494</v>
      </c>
      <c r="B213" s="46" t="s">
        <v>280</v>
      </c>
      <c r="C213" s="39" t="s">
        <v>465</v>
      </c>
      <c r="D213" s="72">
        <v>396727504</v>
      </c>
      <c r="E213" s="73">
        <v>9193204992</v>
      </c>
      <c r="F213" s="39" t="s">
        <v>247</v>
      </c>
      <c r="G213" s="49">
        <v>37601</v>
      </c>
      <c r="H213" s="50" t="str">
        <f t="shared" si="6"/>
        <v>Dec</v>
      </c>
      <c r="I213" s="51">
        <f t="shared" ca="1" si="7"/>
        <v>13</v>
      </c>
      <c r="J213" s="52"/>
      <c r="K213" s="53">
        <v>50210</v>
      </c>
      <c r="L213" s="54">
        <v>2</v>
      </c>
      <c r="M213" s="55"/>
    </row>
    <row r="214" spans="1:13" x14ac:dyDescent="0.25">
      <c r="A214" s="39" t="s">
        <v>495</v>
      </c>
      <c r="B214" s="46" t="s">
        <v>285</v>
      </c>
      <c r="C214" s="39" t="s">
        <v>465</v>
      </c>
      <c r="D214" s="72">
        <v>561737107</v>
      </c>
      <c r="E214" s="73">
        <v>9198294156</v>
      </c>
      <c r="F214" s="39" t="s">
        <v>256</v>
      </c>
      <c r="G214" s="49">
        <v>36025</v>
      </c>
      <c r="H214" s="50" t="str">
        <f t="shared" si="6"/>
        <v>Aug</v>
      </c>
      <c r="I214" s="51">
        <f t="shared" ca="1" si="7"/>
        <v>18</v>
      </c>
      <c r="J214" s="52" t="s">
        <v>283</v>
      </c>
      <c r="K214" s="53">
        <v>87690</v>
      </c>
      <c r="L214" s="54">
        <v>5</v>
      </c>
      <c r="M214" s="55"/>
    </row>
    <row r="215" spans="1:13" x14ac:dyDescent="0.25">
      <c r="A215" s="39" t="s">
        <v>496</v>
      </c>
      <c r="B215" s="46" t="s">
        <v>245</v>
      </c>
      <c r="C215" s="39" t="s">
        <v>465</v>
      </c>
      <c r="D215" s="72">
        <v>470935648</v>
      </c>
      <c r="E215" s="73">
        <v>9192053579</v>
      </c>
      <c r="F215" s="39" t="s">
        <v>247</v>
      </c>
      <c r="G215" s="49">
        <v>39538</v>
      </c>
      <c r="H215" s="50" t="str">
        <f t="shared" si="6"/>
        <v>Mar</v>
      </c>
      <c r="I215" s="51">
        <f t="shared" ca="1" si="7"/>
        <v>8</v>
      </c>
      <c r="J215" s="52"/>
      <c r="K215" s="53">
        <v>47620</v>
      </c>
      <c r="L215" s="54">
        <v>1</v>
      </c>
      <c r="M215" s="55"/>
    </row>
    <row r="216" spans="1:13" x14ac:dyDescent="0.25">
      <c r="A216" s="39" t="s">
        <v>497</v>
      </c>
      <c r="B216" s="46" t="s">
        <v>285</v>
      </c>
      <c r="C216" s="39" t="s">
        <v>465</v>
      </c>
      <c r="D216" s="72">
        <v>337943008</v>
      </c>
      <c r="E216" s="73">
        <v>2521257896</v>
      </c>
      <c r="F216" s="39" t="s">
        <v>256</v>
      </c>
      <c r="G216" s="49">
        <v>38395</v>
      </c>
      <c r="H216" s="50" t="str">
        <f t="shared" si="6"/>
        <v>Feb</v>
      </c>
      <c r="I216" s="51">
        <f t="shared" ca="1" si="7"/>
        <v>11</v>
      </c>
      <c r="J216" s="52" t="s">
        <v>257</v>
      </c>
      <c r="K216" s="53">
        <v>34760</v>
      </c>
      <c r="L216" s="54">
        <v>3</v>
      </c>
      <c r="M216" s="55"/>
    </row>
    <row r="217" spans="1:13" x14ac:dyDescent="0.25">
      <c r="A217" s="39" t="s">
        <v>498</v>
      </c>
      <c r="B217" s="46" t="s">
        <v>271</v>
      </c>
      <c r="C217" s="39" t="s">
        <v>465</v>
      </c>
      <c r="D217" s="72">
        <v>220781349</v>
      </c>
      <c r="E217" s="73">
        <v>2525185281</v>
      </c>
      <c r="F217" s="39" t="s">
        <v>247</v>
      </c>
      <c r="G217" s="49">
        <v>35150</v>
      </c>
      <c r="H217" s="50" t="str">
        <f t="shared" si="6"/>
        <v>Mar</v>
      </c>
      <c r="I217" s="51">
        <f t="shared" ca="1" si="7"/>
        <v>20</v>
      </c>
      <c r="J217" s="52"/>
      <c r="K217" s="53">
        <v>54920</v>
      </c>
      <c r="L217" s="54">
        <v>5</v>
      </c>
      <c r="M217" s="55"/>
    </row>
    <row r="218" spans="1:13" x14ac:dyDescent="0.25">
      <c r="A218" s="39" t="s">
        <v>499</v>
      </c>
      <c r="B218" s="46" t="s">
        <v>280</v>
      </c>
      <c r="C218" s="39" t="s">
        <v>465</v>
      </c>
      <c r="D218" s="72">
        <v>620336005</v>
      </c>
      <c r="E218" s="73">
        <v>9196422185</v>
      </c>
      <c r="F218" s="39" t="s">
        <v>256</v>
      </c>
      <c r="G218" s="49">
        <v>39378</v>
      </c>
      <c r="H218" s="50" t="str">
        <f t="shared" si="6"/>
        <v>Oct</v>
      </c>
      <c r="I218" s="51">
        <f t="shared" ca="1" si="7"/>
        <v>9</v>
      </c>
      <c r="J218" s="52" t="s">
        <v>257</v>
      </c>
      <c r="K218" s="53">
        <v>49270</v>
      </c>
      <c r="L218" s="54">
        <v>3</v>
      </c>
      <c r="M218" s="55"/>
    </row>
    <row r="219" spans="1:13" x14ac:dyDescent="0.25">
      <c r="A219" s="39" t="s">
        <v>500</v>
      </c>
      <c r="B219" s="46" t="s">
        <v>245</v>
      </c>
      <c r="C219" s="39" t="s">
        <v>465</v>
      </c>
      <c r="D219" s="72">
        <v>436778229</v>
      </c>
      <c r="E219" s="73">
        <v>2525871924</v>
      </c>
      <c r="F219" s="39" t="s">
        <v>247</v>
      </c>
      <c r="G219" s="49">
        <v>40823</v>
      </c>
      <c r="H219" s="50" t="str">
        <f t="shared" si="6"/>
        <v>Oct</v>
      </c>
      <c r="I219" s="51">
        <f t="shared" ca="1" si="7"/>
        <v>5</v>
      </c>
      <c r="J219" s="52"/>
      <c r="K219" s="53">
        <v>72050</v>
      </c>
      <c r="L219" s="54">
        <v>5</v>
      </c>
      <c r="M219" s="55"/>
    </row>
    <row r="220" spans="1:13" x14ac:dyDescent="0.25">
      <c r="A220" s="39" t="s">
        <v>501</v>
      </c>
      <c r="B220" s="46" t="s">
        <v>266</v>
      </c>
      <c r="C220" s="39" t="s">
        <v>465</v>
      </c>
      <c r="D220" s="72">
        <v>292993080</v>
      </c>
      <c r="E220" s="73">
        <v>2525085320</v>
      </c>
      <c r="F220" s="39" t="s">
        <v>256</v>
      </c>
      <c r="G220" s="49">
        <v>40456</v>
      </c>
      <c r="H220" s="50" t="str">
        <f t="shared" si="6"/>
        <v>Oct</v>
      </c>
      <c r="I220" s="51">
        <f t="shared" ca="1" si="7"/>
        <v>6</v>
      </c>
      <c r="J220" s="52" t="s">
        <v>283</v>
      </c>
      <c r="K220" s="53">
        <v>71300</v>
      </c>
      <c r="L220" s="54">
        <v>4</v>
      </c>
      <c r="M220" s="55"/>
    </row>
    <row r="221" spans="1:13" x14ac:dyDescent="0.25">
      <c r="A221" s="39" t="s">
        <v>502</v>
      </c>
      <c r="B221" s="46" t="s">
        <v>266</v>
      </c>
      <c r="C221" s="39" t="s">
        <v>465</v>
      </c>
      <c r="D221" s="72">
        <v>378189642</v>
      </c>
      <c r="E221" s="73">
        <v>2526228199</v>
      </c>
      <c r="F221" s="39" t="s">
        <v>247</v>
      </c>
      <c r="G221" s="49">
        <v>38900</v>
      </c>
      <c r="H221" s="50" t="str">
        <f t="shared" si="6"/>
        <v>Jul</v>
      </c>
      <c r="I221" s="51">
        <f t="shared" ca="1" si="7"/>
        <v>10</v>
      </c>
      <c r="J221" s="52"/>
      <c r="K221" s="53">
        <v>77060</v>
      </c>
      <c r="L221" s="54">
        <v>5</v>
      </c>
      <c r="M221" s="55"/>
    </row>
    <row r="222" spans="1:13" x14ac:dyDescent="0.25">
      <c r="A222" s="39" t="s">
        <v>503</v>
      </c>
      <c r="B222" s="46" t="s">
        <v>271</v>
      </c>
      <c r="C222" s="39" t="s">
        <v>465</v>
      </c>
      <c r="D222" s="72">
        <v>708108747</v>
      </c>
      <c r="E222" s="73">
        <v>9192520526</v>
      </c>
      <c r="F222" s="39" t="s">
        <v>256</v>
      </c>
      <c r="G222" s="49">
        <v>38944</v>
      </c>
      <c r="H222" s="50" t="str">
        <f t="shared" si="6"/>
        <v>Aug</v>
      </c>
      <c r="I222" s="51">
        <f t="shared" ca="1" si="7"/>
        <v>10</v>
      </c>
      <c r="J222" s="52" t="s">
        <v>257</v>
      </c>
      <c r="K222" s="53">
        <v>90210</v>
      </c>
      <c r="L222" s="54">
        <v>3</v>
      </c>
      <c r="M222" s="55"/>
    </row>
    <row r="223" spans="1:13" x14ac:dyDescent="0.25">
      <c r="A223" s="39" t="s">
        <v>504</v>
      </c>
      <c r="B223" s="46" t="s">
        <v>280</v>
      </c>
      <c r="C223" s="39" t="s">
        <v>465</v>
      </c>
      <c r="D223" s="72">
        <v>504914685</v>
      </c>
      <c r="E223" s="73">
        <v>9195250630</v>
      </c>
      <c r="F223" s="39" t="s">
        <v>256</v>
      </c>
      <c r="G223" s="49">
        <v>37085</v>
      </c>
      <c r="H223" s="50" t="str">
        <f t="shared" si="6"/>
        <v>Jul</v>
      </c>
      <c r="I223" s="51">
        <f t="shared" ca="1" si="7"/>
        <v>15</v>
      </c>
      <c r="J223" s="52" t="s">
        <v>257</v>
      </c>
      <c r="K223" s="53">
        <v>39850</v>
      </c>
      <c r="L223" s="54">
        <v>4</v>
      </c>
      <c r="M223" s="55"/>
    </row>
    <row r="224" spans="1:13" x14ac:dyDescent="0.25">
      <c r="A224" s="39" t="s">
        <v>505</v>
      </c>
      <c r="B224" s="46" t="s">
        <v>271</v>
      </c>
      <c r="C224" s="39" t="s">
        <v>465</v>
      </c>
      <c r="D224" s="72">
        <v>384454025</v>
      </c>
      <c r="E224" s="73">
        <v>2522064219</v>
      </c>
      <c r="F224" s="39" t="s">
        <v>247</v>
      </c>
      <c r="G224" s="49">
        <v>37456</v>
      </c>
      <c r="H224" s="50" t="str">
        <f t="shared" si="6"/>
        <v>Jul</v>
      </c>
      <c r="I224" s="51">
        <f t="shared" ca="1" si="7"/>
        <v>14</v>
      </c>
      <c r="J224" s="52"/>
      <c r="K224" s="53">
        <v>28570</v>
      </c>
      <c r="L224" s="54">
        <v>4</v>
      </c>
      <c r="M224" s="55"/>
    </row>
    <row r="225" spans="1:13" x14ac:dyDescent="0.25">
      <c r="A225" s="39" t="s">
        <v>506</v>
      </c>
      <c r="B225" s="46" t="s">
        <v>285</v>
      </c>
      <c r="C225" s="39" t="s">
        <v>465</v>
      </c>
      <c r="D225" s="72">
        <v>167058119</v>
      </c>
      <c r="E225" s="73">
        <v>2527237007</v>
      </c>
      <c r="F225" s="39" t="s">
        <v>252</v>
      </c>
      <c r="G225" s="49">
        <v>38731</v>
      </c>
      <c r="H225" s="50" t="str">
        <f t="shared" si="6"/>
        <v>Jan</v>
      </c>
      <c r="I225" s="51">
        <f t="shared" ca="1" si="7"/>
        <v>10</v>
      </c>
      <c r="J225" s="52"/>
      <c r="K225" s="53">
        <v>10670</v>
      </c>
      <c r="L225" s="54">
        <v>1</v>
      </c>
      <c r="M225" s="55"/>
    </row>
    <row r="226" spans="1:13" x14ac:dyDescent="0.25">
      <c r="A226" s="39" t="s">
        <v>507</v>
      </c>
      <c r="B226" s="46" t="s">
        <v>245</v>
      </c>
      <c r="C226" s="39" t="s">
        <v>465</v>
      </c>
      <c r="D226" s="72">
        <v>405396173</v>
      </c>
      <c r="E226" s="73">
        <v>2521777060</v>
      </c>
      <c r="F226" s="39" t="s">
        <v>256</v>
      </c>
      <c r="G226" s="49">
        <v>39734</v>
      </c>
      <c r="H226" s="50" t="str">
        <f t="shared" si="6"/>
        <v>Oct</v>
      </c>
      <c r="I226" s="51">
        <f t="shared" ca="1" si="7"/>
        <v>8</v>
      </c>
      <c r="J226" s="52" t="s">
        <v>276</v>
      </c>
      <c r="K226" s="53">
        <v>82450</v>
      </c>
      <c r="L226" s="54">
        <v>4</v>
      </c>
      <c r="M226" s="55"/>
    </row>
    <row r="227" spans="1:13" x14ac:dyDescent="0.25">
      <c r="A227" s="39" t="s">
        <v>508</v>
      </c>
      <c r="B227" s="46" t="s">
        <v>285</v>
      </c>
      <c r="C227" s="39" t="s">
        <v>465</v>
      </c>
      <c r="D227" s="72">
        <v>399060898</v>
      </c>
      <c r="E227" s="73">
        <v>9195197037</v>
      </c>
      <c r="F227" s="39" t="s">
        <v>247</v>
      </c>
      <c r="G227" s="49">
        <v>39322</v>
      </c>
      <c r="H227" s="50" t="str">
        <f t="shared" si="6"/>
        <v>Aug</v>
      </c>
      <c r="I227" s="51">
        <f t="shared" ca="1" si="7"/>
        <v>9</v>
      </c>
      <c r="J227" s="52"/>
      <c r="K227" s="53">
        <v>45580</v>
      </c>
      <c r="L227" s="54">
        <v>4</v>
      </c>
      <c r="M227" s="55"/>
    </row>
    <row r="228" spans="1:13" x14ac:dyDescent="0.25">
      <c r="A228" s="39" t="s">
        <v>509</v>
      </c>
      <c r="B228" s="46" t="s">
        <v>280</v>
      </c>
      <c r="C228" s="39" t="s">
        <v>465</v>
      </c>
      <c r="D228" s="72">
        <v>575270646</v>
      </c>
      <c r="E228" s="73">
        <v>9197819805</v>
      </c>
      <c r="F228" s="39" t="s">
        <v>256</v>
      </c>
      <c r="G228" s="49">
        <v>40349</v>
      </c>
      <c r="H228" s="50" t="str">
        <f t="shared" si="6"/>
        <v>Jun</v>
      </c>
      <c r="I228" s="51">
        <f t="shared" ca="1" si="7"/>
        <v>6</v>
      </c>
      <c r="J228" s="52" t="s">
        <v>257</v>
      </c>
      <c r="K228" s="53">
        <v>55460</v>
      </c>
      <c r="L228" s="54">
        <v>2</v>
      </c>
      <c r="M228" s="55"/>
    </row>
    <row r="229" spans="1:13" x14ac:dyDescent="0.25">
      <c r="A229" s="39" t="s">
        <v>510</v>
      </c>
      <c r="B229" s="46" t="s">
        <v>271</v>
      </c>
      <c r="C229" s="39" t="s">
        <v>465</v>
      </c>
      <c r="D229" s="72">
        <v>527185620</v>
      </c>
      <c r="E229" s="73">
        <v>2524627771</v>
      </c>
      <c r="F229" s="39" t="s">
        <v>256</v>
      </c>
      <c r="G229" s="49">
        <v>41271</v>
      </c>
      <c r="H229" s="50" t="str">
        <f t="shared" si="6"/>
        <v>Dec</v>
      </c>
      <c r="I229" s="51">
        <f t="shared" ca="1" si="7"/>
        <v>3</v>
      </c>
      <c r="J229" s="52" t="s">
        <v>283</v>
      </c>
      <c r="K229" s="53">
        <v>42360</v>
      </c>
      <c r="L229" s="54">
        <v>5</v>
      </c>
      <c r="M229" s="55"/>
    </row>
    <row r="230" spans="1:13" x14ac:dyDescent="0.25">
      <c r="A230" s="39" t="s">
        <v>511</v>
      </c>
      <c r="B230" s="46" t="s">
        <v>251</v>
      </c>
      <c r="C230" s="39" t="s">
        <v>465</v>
      </c>
      <c r="D230" s="72">
        <v>240272873</v>
      </c>
      <c r="E230" s="73">
        <v>9198912054</v>
      </c>
      <c r="F230" s="39" t="s">
        <v>247</v>
      </c>
      <c r="G230" s="49">
        <v>39913</v>
      </c>
      <c r="H230" s="50" t="str">
        <f t="shared" si="6"/>
        <v>Apr</v>
      </c>
      <c r="I230" s="51">
        <f t="shared" ca="1" si="7"/>
        <v>7</v>
      </c>
      <c r="J230" s="52"/>
      <c r="K230" s="53">
        <v>96400</v>
      </c>
      <c r="L230" s="54">
        <v>4</v>
      </c>
      <c r="M230" s="55"/>
    </row>
    <row r="231" spans="1:13" x14ac:dyDescent="0.25">
      <c r="A231" s="39" t="s">
        <v>512</v>
      </c>
      <c r="B231" s="46" t="s">
        <v>285</v>
      </c>
      <c r="C231" s="39" t="s">
        <v>465</v>
      </c>
      <c r="D231" s="72">
        <v>428024993</v>
      </c>
      <c r="E231" s="73">
        <v>9196410575</v>
      </c>
      <c r="F231" s="39" t="s">
        <v>247</v>
      </c>
      <c r="G231" s="49">
        <v>34775</v>
      </c>
      <c r="H231" s="50" t="str">
        <f t="shared" si="6"/>
        <v>Mar</v>
      </c>
      <c r="I231" s="51">
        <f t="shared" ca="1" si="7"/>
        <v>21</v>
      </c>
      <c r="J231" s="52"/>
      <c r="K231" s="53">
        <v>38630</v>
      </c>
      <c r="L231" s="54">
        <v>3</v>
      </c>
      <c r="M231" s="55"/>
    </row>
    <row r="232" spans="1:13" x14ac:dyDescent="0.25">
      <c r="A232" s="39" t="s">
        <v>513</v>
      </c>
      <c r="B232" s="46" t="s">
        <v>285</v>
      </c>
      <c r="C232" s="39" t="s">
        <v>465</v>
      </c>
      <c r="D232" s="72">
        <v>482927373</v>
      </c>
      <c r="E232" s="73">
        <v>9198413271</v>
      </c>
      <c r="F232" s="39" t="s">
        <v>256</v>
      </c>
      <c r="G232" s="49">
        <v>36527</v>
      </c>
      <c r="H232" s="50" t="str">
        <f t="shared" si="6"/>
        <v>Jan</v>
      </c>
      <c r="I232" s="51">
        <f t="shared" ca="1" si="7"/>
        <v>16</v>
      </c>
      <c r="J232" s="52" t="s">
        <v>283</v>
      </c>
      <c r="K232" s="53">
        <v>38870</v>
      </c>
      <c r="L232" s="54">
        <v>2</v>
      </c>
      <c r="M232" s="55"/>
    </row>
    <row r="233" spans="1:13" x14ac:dyDescent="0.25">
      <c r="A233" s="39" t="s">
        <v>514</v>
      </c>
      <c r="B233" s="46" t="s">
        <v>251</v>
      </c>
      <c r="C233" s="39" t="s">
        <v>465</v>
      </c>
      <c r="D233" s="72">
        <v>317844971</v>
      </c>
      <c r="E233" s="73">
        <v>9193557946</v>
      </c>
      <c r="F233" s="39" t="s">
        <v>247</v>
      </c>
      <c r="G233" s="49">
        <v>36928</v>
      </c>
      <c r="H233" s="50" t="str">
        <f t="shared" si="6"/>
        <v>Feb</v>
      </c>
      <c r="I233" s="51">
        <f t="shared" ca="1" si="7"/>
        <v>15</v>
      </c>
      <c r="J233" s="52"/>
      <c r="K233" s="53">
        <v>92290</v>
      </c>
      <c r="L233" s="54">
        <v>1</v>
      </c>
      <c r="M233" s="55"/>
    </row>
    <row r="234" spans="1:13" x14ac:dyDescent="0.25">
      <c r="A234" s="39" t="s">
        <v>515</v>
      </c>
      <c r="B234" s="46" t="s">
        <v>280</v>
      </c>
      <c r="C234" s="39" t="s">
        <v>465</v>
      </c>
      <c r="D234" s="72">
        <v>177332873</v>
      </c>
      <c r="E234" s="73">
        <v>9195915044</v>
      </c>
      <c r="F234" s="39" t="s">
        <v>256</v>
      </c>
      <c r="G234" s="49">
        <v>37414</v>
      </c>
      <c r="H234" s="50" t="str">
        <f t="shared" si="6"/>
        <v>Jun</v>
      </c>
      <c r="I234" s="51">
        <f t="shared" ca="1" si="7"/>
        <v>14</v>
      </c>
      <c r="J234" s="52" t="s">
        <v>257</v>
      </c>
      <c r="K234" s="53">
        <v>48070</v>
      </c>
      <c r="L234" s="54">
        <v>3</v>
      </c>
      <c r="M234" s="55"/>
    </row>
    <row r="235" spans="1:13" x14ac:dyDescent="0.25">
      <c r="A235" s="39" t="s">
        <v>516</v>
      </c>
      <c r="B235" s="46" t="s">
        <v>266</v>
      </c>
      <c r="C235" s="39" t="s">
        <v>465</v>
      </c>
      <c r="D235" s="72">
        <v>590896401</v>
      </c>
      <c r="E235" s="73">
        <v>2523122603</v>
      </c>
      <c r="F235" s="39" t="s">
        <v>256</v>
      </c>
      <c r="G235" s="49">
        <v>39322</v>
      </c>
      <c r="H235" s="50" t="str">
        <f t="shared" si="6"/>
        <v>Aug</v>
      </c>
      <c r="I235" s="51">
        <f t="shared" ca="1" si="7"/>
        <v>9</v>
      </c>
      <c r="J235" s="52" t="s">
        <v>262</v>
      </c>
      <c r="K235" s="53">
        <v>84910</v>
      </c>
      <c r="L235" s="54">
        <v>1</v>
      </c>
      <c r="M235" s="55"/>
    </row>
    <row r="236" spans="1:13" x14ac:dyDescent="0.25">
      <c r="A236" s="39" t="s">
        <v>517</v>
      </c>
      <c r="B236" s="46" t="s">
        <v>271</v>
      </c>
      <c r="C236" s="39" t="s">
        <v>465</v>
      </c>
      <c r="D236" s="72">
        <v>984570981</v>
      </c>
      <c r="E236" s="73">
        <v>2528155179</v>
      </c>
      <c r="F236" s="39" t="s">
        <v>261</v>
      </c>
      <c r="G236" s="49">
        <v>37270</v>
      </c>
      <c r="H236" s="50" t="str">
        <f t="shared" si="6"/>
        <v>Jan</v>
      </c>
      <c r="I236" s="51">
        <f t="shared" ca="1" si="7"/>
        <v>14</v>
      </c>
      <c r="J236" s="52" t="s">
        <v>283</v>
      </c>
      <c r="K236" s="53">
        <v>57830</v>
      </c>
      <c r="L236" s="54">
        <v>1</v>
      </c>
      <c r="M236" s="55"/>
    </row>
    <row r="237" spans="1:13" x14ac:dyDescent="0.25">
      <c r="A237" s="39" t="s">
        <v>518</v>
      </c>
      <c r="B237" s="46" t="s">
        <v>271</v>
      </c>
      <c r="C237" s="39" t="s">
        <v>465</v>
      </c>
      <c r="D237" s="72">
        <v>775217609</v>
      </c>
      <c r="E237" s="73">
        <v>9191591006</v>
      </c>
      <c r="F237" s="39" t="s">
        <v>256</v>
      </c>
      <c r="G237" s="49">
        <v>35405</v>
      </c>
      <c r="H237" s="50" t="str">
        <f t="shared" si="6"/>
        <v>Dec</v>
      </c>
      <c r="I237" s="51">
        <f t="shared" ca="1" si="7"/>
        <v>19</v>
      </c>
      <c r="J237" s="52" t="s">
        <v>283</v>
      </c>
      <c r="K237" s="53">
        <v>29650</v>
      </c>
      <c r="L237" s="54">
        <v>2</v>
      </c>
      <c r="M237" s="55"/>
    </row>
    <row r="238" spans="1:13" x14ac:dyDescent="0.25">
      <c r="A238" s="39" t="s">
        <v>519</v>
      </c>
      <c r="B238" s="46" t="s">
        <v>271</v>
      </c>
      <c r="C238" s="39" t="s">
        <v>465</v>
      </c>
      <c r="D238" s="72">
        <v>854806695</v>
      </c>
      <c r="E238" s="73">
        <v>9192672603</v>
      </c>
      <c r="F238" s="39" t="s">
        <v>256</v>
      </c>
      <c r="G238" s="49">
        <v>34722</v>
      </c>
      <c r="H238" s="50" t="str">
        <f t="shared" si="6"/>
        <v>Jan</v>
      </c>
      <c r="I238" s="51">
        <f t="shared" ca="1" si="7"/>
        <v>21</v>
      </c>
      <c r="J238" s="52" t="s">
        <v>283</v>
      </c>
      <c r="K238" s="53">
        <v>31430</v>
      </c>
      <c r="L238" s="54">
        <v>5</v>
      </c>
      <c r="M238" s="55"/>
    </row>
    <row r="239" spans="1:13" x14ac:dyDescent="0.25">
      <c r="A239" s="39" t="s">
        <v>520</v>
      </c>
      <c r="B239" s="46" t="s">
        <v>285</v>
      </c>
      <c r="C239" s="39" t="s">
        <v>465</v>
      </c>
      <c r="D239" s="72">
        <v>377194926</v>
      </c>
      <c r="E239" s="73">
        <v>9197362525</v>
      </c>
      <c r="F239" s="39" t="s">
        <v>256</v>
      </c>
      <c r="G239" s="49">
        <v>41604</v>
      </c>
      <c r="H239" s="50" t="str">
        <f t="shared" si="6"/>
        <v>Nov</v>
      </c>
      <c r="I239" s="51">
        <f t="shared" ca="1" si="7"/>
        <v>2</v>
      </c>
      <c r="J239" s="52" t="s">
        <v>267</v>
      </c>
      <c r="K239" s="53">
        <v>53110</v>
      </c>
      <c r="L239" s="54">
        <v>1</v>
      </c>
      <c r="M239" s="55"/>
    </row>
    <row r="240" spans="1:13" x14ac:dyDescent="0.25">
      <c r="A240" s="39" t="s">
        <v>521</v>
      </c>
      <c r="B240" s="46" t="s">
        <v>271</v>
      </c>
      <c r="C240" s="39" t="s">
        <v>465</v>
      </c>
      <c r="D240" s="72">
        <v>698869555</v>
      </c>
      <c r="E240" s="73">
        <v>2526052545</v>
      </c>
      <c r="F240" s="39" t="s">
        <v>261</v>
      </c>
      <c r="G240" s="49">
        <v>37504</v>
      </c>
      <c r="H240" s="50" t="str">
        <f t="shared" si="6"/>
        <v>Sep</v>
      </c>
      <c r="I240" s="51">
        <f t="shared" ca="1" si="7"/>
        <v>14</v>
      </c>
      <c r="J240" s="52" t="s">
        <v>267</v>
      </c>
      <c r="K240" s="53">
        <v>49940</v>
      </c>
      <c r="L240" s="54">
        <v>1</v>
      </c>
      <c r="M240" s="55"/>
    </row>
    <row r="241" spans="1:13" x14ac:dyDescent="0.25">
      <c r="A241" s="39" t="s">
        <v>522</v>
      </c>
      <c r="B241" s="46" t="s">
        <v>251</v>
      </c>
      <c r="C241" s="39" t="s">
        <v>465</v>
      </c>
      <c r="D241" s="72">
        <v>720538680</v>
      </c>
      <c r="E241" s="73">
        <v>2522126686</v>
      </c>
      <c r="F241" s="39" t="s">
        <v>256</v>
      </c>
      <c r="G241" s="49">
        <v>35484</v>
      </c>
      <c r="H241" s="50" t="str">
        <f t="shared" si="6"/>
        <v>Feb</v>
      </c>
      <c r="I241" s="51">
        <f t="shared" ca="1" si="7"/>
        <v>19</v>
      </c>
      <c r="J241" s="52" t="s">
        <v>257</v>
      </c>
      <c r="K241" s="53">
        <v>97210</v>
      </c>
      <c r="L241" s="54">
        <v>4</v>
      </c>
      <c r="M241" s="55"/>
    </row>
    <row r="242" spans="1:13" x14ac:dyDescent="0.25">
      <c r="A242" s="39" t="s">
        <v>523</v>
      </c>
      <c r="B242" s="46" t="s">
        <v>245</v>
      </c>
      <c r="C242" s="39" t="s">
        <v>465</v>
      </c>
      <c r="D242" s="72">
        <v>467030396</v>
      </c>
      <c r="E242" s="73">
        <v>2526213620</v>
      </c>
      <c r="F242" s="39" t="s">
        <v>256</v>
      </c>
      <c r="G242" s="49">
        <v>34721</v>
      </c>
      <c r="H242" s="50" t="str">
        <f t="shared" si="6"/>
        <v>Jan</v>
      </c>
      <c r="I242" s="51">
        <f t="shared" ca="1" si="7"/>
        <v>21</v>
      </c>
      <c r="J242" s="52" t="s">
        <v>283</v>
      </c>
      <c r="K242" s="53">
        <v>70690</v>
      </c>
      <c r="L242" s="54">
        <v>1</v>
      </c>
      <c r="M242" s="55"/>
    </row>
    <row r="243" spans="1:13" x14ac:dyDescent="0.25">
      <c r="A243" s="39" t="s">
        <v>524</v>
      </c>
      <c r="B243" s="46" t="s">
        <v>271</v>
      </c>
      <c r="C243" s="39" t="s">
        <v>465</v>
      </c>
      <c r="D243" s="72">
        <v>380653169</v>
      </c>
      <c r="E243" s="73">
        <v>9194743535</v>
      </c>
      <c r="F243" s="39" t="s">
        <v>256</v>
      </c>
      <c r="G243" s="49">
        <v>35152</v>
      </c>
      <c r="H243" s="50" t="str">
        <f t="shared" si="6"/>
        <v>Mar</v>
      </c>
      <c r="I243" s="51">
        <f t="shared" ca="1" si="7"/>
        <v>20</v>
      </c>
      <c r="J243" s="52" t="s">
        <v>283</v>
      </c>
      <c r="K243" s="53">
        <v>98380</v>
      </c>
      <c r="L243" s="54">
        <v>2</v>
      </c>
      <c r="M243" s="55"/>
    </row>
    <row r="244" spans="1:13" x14ac:dyDescent="0.25">
      <c r="A244" s="39" t="s">
        <v>525</v>
      </c>
      <c r="B244" s="46" t="s">
        <v>245</v>
      </c>
      <c r="C244" s="39" t="s">
        <v>465</v>
      </c>
      <c r="D244" s="72">
        <v>561968668</v>
      </c>
      <c r="E244" s="73">
        <v>2522433774</v>
      </c>
      <c r="F244" s="39" t="s">
        <v>256</v>
      </c>
      <c r="G244" s="49">
        <v>39810</v>
      </c>
      <c r="H244" s="50" t="str">
        <f t="shared" si="6"/>
        <v>Dec</v>
      </c>
      <c r="I244" s="51">
        <f t="shared" ca="1" si="7"/>
        <v>7</v>
      </c>
      <c r="J244" s="52" t="s">
        <v>262</v>
      </c>
      <c r="K244" s="53">
        <v>91900</v>
      </c>
      <c r="L244" s="54">
        <v>1</v>
      </c>
      <c r="M244" s="55"/>
    </row>
    <row r="245" spans="1:13" x14ac:dyDescent="0.25">
      <c r="A245" s="39" t="s">
        <v>526</v>
      </c>
      <c r="B245" s="46" t="s">
        <v>266</v>
      </c>
      <c r="C245" s="39" t="s">
        <v>465</v>
      </c>
      <c r="D245" s="72">
        <v>484217278</v>
      </c>
      <c r="E245" s="73">
        <v>9195627374</v>
      </c>
      <c r="F245" s="39" t="s">
        <v>252</v>
      </c>
      <c r="G245" s="49">
        <v>40748</v>
      </c>
      <c r="H245" s="50" t="str">
        <f t="shared" si="6"/>
        <v>Jul</v>
      </c>
      <c r="I245" s="51">
        <f t="shared" ca="1" si="7"/>
        <v>5</v>
      </c>
      <c r="J245" s="52"/>
      <c r="K245" s="53">
        <v>12690</v>
      </c>
      <c r="L245" s="54">
        <v>4</v>
      </c>
      <c r="M245" s="55"/>
    </row>
    <row r="246" spans="1:13" x14ac:dyDescent="0.25">
      <c r="A246" s="39" t="s">
        <v>527</v>
      </c>
      <c r="B246" s="46" t="s">
        <v>245</v>
      </c>
      <c r="C246" s="39" t="s">
        <v>465</v>
      </c>
      <c r="D246" s="72">
        <v>488831244</v>
      </c>
      <c r="E246" s="73">
        <v>9198979762</v>
      </c>
      <c r="F246" s="39" t="s">
        <v>261</v>
      </c>
      <c r="G246" s="49">
        <v>38621</v>
      </c>
      <c r="H246" s="50" t="str">
        <f t="shared" si="6"/>
        <v>Sep</v>
      </c>
      <c r="I246" s="51">
        <f t="shared" ca="1" si="7"/>
        <v>11</v>
      </c>
      <c r="J246" s="52" t="s">
        <v>257</v>
      </c>
      <c r="K246" s="53">
        <v>29350</v>
      </c>
      <c r="L246" s="54">
        <v>1</v>
      </c>
      <c r="M246" s="55"/>
    </row>
    <row r="247" spans="1:13" x14ac:dyDescent="0.25">
      <c r="A247" s="39" t="s">
        <v>528</v>
      </c>
      <c r="B247" s="46" t="s">
        <v>266</v>
      </c>
      <c r="C247" s="39" t="s">
        <v>465</v>
      </c>
      <c r="D247" s="72">
        <v>135965371</v>
      </c>
      <c r="E247" s="73">
        <v>9195592950</v>
      </c>
      <c r="F247" s="39" t="s">
        <v>256</v>
      </c>
      <c r="G247" s="49">
        <v>38937</v>
      </c>
      <c r="H247" s="50" t="str">
        <f t="shared" si="6"/>
        <v>Aug</v>
      </c>
      <c r="I247" s="51">
        <f t="shared" ca="1" si="7"/>
        <v>10</v>
      </c>
      <c r="J247" s="52" t="s">
        <v>283</v>
      </c>
      <c r="K247" s="53">
        <v>37100</v>
      </c>
      <c r="L247" s="54">
        <v>5</v>
      </c>
      <c r="M247" s="55"/>
    </row>
    <row r="248" spans="1:13" x14ac:dyDescent="0.25">
      <c r="A248" s="39" t="s">
        <v>529</v>
      </c>
      <c r="B248" s="46" t="s">
        <v>271</v>
      </c>
      <c r="C248" s="39" t="s">
        <v>465</v>
      </c>
      <c r="D248" s="72">
        <v>259573806</v>
      </c>
      <c r="E248" s="73">
        <v>9193302808</v>
      </c>
      <c r="F248" s="39" t="s">
        <v>256</v>
      </c>
      <c r="G248" s="49">
        <v>34649</v>
      </c>
      <c r="H248" s="50" t="str">
        <f t="shared" si="6"/>
        <v>Nov</v>
      </c>
      <c r="I248" s="51">
        <f t="shared" ca="1" si="7"/>
        <v>22</v>
      </c>
      <c r="J248" s="52" t="s">
        <v>276</v>
      </c>
      <c r="K248" s="53">
        <v>72460</v>
      </c>
      <c r="L248" s="54">
        <v>4</v>
      </c>
      <c r="M248" s="55"/>
    </row>
    <row r="249" spans="1:13" x14ac:dyDescent="0.25">
      <c r="A249" s="39" t="s">
        <v>530</v>
      </c>
      <c r="B249" s="46" t="s">
        <v>285</v>
      </c>
      <c r="C249" s="39" t="s">
        <v>465</v>
      </c>
      <c r="D249" s="72">
        <v>920477476</v>
      </c>
      <c r="E249" s="73">
        <v>2523162442</v>
      </c>
      <c r="F249" s="39" t="s">
        <v>247</v>
      </c>
      <c r="G249" s="49">
        <v>36186</v>
      </c>
      <c r="H249" s="50" t="str">
        <f t="shared" si="6"/>
        <v>Jan</v>
      </c>
      <c r="I249" s="51">
        <f t="shared" ca="1" si="7"/>
        <v>17</v>
      </c>
      <c r="J249" s="52"/>
      <c r="K249" s="53">
        <v>29290</v>
      </c>
      <c r="L249" s="54">
        <v>3</v>
      </c>
      <c r="M249" s="55"/>
    </row>
    <row r="250" spans="1:13" x14ac:dyDescent="0.25">
      <c r="A250" s="39" t="s">
        <v>531</v>
      </c>
      <c r="B250" s="46" t="s">
        <v>285</v>
      </c>
      <c r="C250" s="39" t="s">
        <v>465</v>
      </c>
      <c r="D250" s="72">
        <v>276980518</v>
      </c>
      <c r="E250" s="73">
        <v>9195267252</v>
      </c>
      <c r="F250" s="39" t="s">
        <v>256</v>
      </c>
      <c r="G250" s="49">
        <v>39833</v>
      </c>
      <c r="H250" s="50" t="str">
        <f t="shared" si="6"/>
        <v>Jan</v>
      </c>
      <c r="I250" s="51">
        <f t="shared" ca="1" si="7"/>
        <v>7</v>
      </c>
      <c r="J250" s="52" t="s">
        <v>276</v>
      </c>
      <c r="K250" s="53">
        <v>35300</v>
      </c>
      <c r="L250" s="54">
        <v>5</v>
      </c>
      <c r="M250" s="55"/>
    </row>
    <row r="251" spans="1:13" x14ac:dyDescent="0.25">
      <c r="A251" s="39" t="s">
        <v>532</v>
      </c>
      <c r="B251" s="46" t="s">
        <v>280</v>
      </c>
      <c r="C251" s="39" t="s">
        <v>465</v>
      </c>
      <c r="D251" s="72">
        <v>725737456</v>
      </c>
      <c r="E251" s="73">
        <v>9191847141</v>
      </c>
      <c r="F251" s="39" t="s">
        <v>247</v>
      </c>
      <c r="G251" s="49">
        <v>39875</v>
      </c>
      <c r="H251" s="50" t="str">
        <f t="shared" si="6"/>
        <v>Mar</v>
      </c>
      <c r="I251" s="51">
        <f t="shared" ca="1" si="7"/>
        <v>7</v>
      </c>
      <c r="J251" s="52"/>
      <c r="K251" s="53">
        <v>71200</v>
      </c>
      <c r="L251" s="54">
        <v>4</v>
      </c>
      <c r="M251" s="55"/>
    </row>
    <row r="252" spans="1:13" x14ac:dyDescent="0.25">
      <c r="A252" s="39" t="s">
        <v>533</v>
      </c>
      <c r="B252" s="46" t="s">
        <v>280</v>
      </c>
      <c r="C252" s="39" t="s">
        <v>465</v>
      </c>
      <c r="D252" s="72">
        <v>350104448</v>
      </c>
      <c r="E252" s="73">
        <v>9193883356</v>
      </c>
      <c r="F252" s="39" t="s">
        <v>256</v>
      </c>
      <c r="G252" s="49">
        <v>36530</v>
      </c>
      <c r="H252" s="50" t="str">
        <f t="shared" si="6"/>
        <v>Jan</v>
      </c>
      <c r="I252" s="51">
        <f t="shared" ca="1" si="7"/>
        <v>16</v>
      </c>
      <c r="J252" s="52" t="s">
        <v>267</v>
      </c>
      <c r="K252" s="53">
        <v>53900</v>
      </c>
      <c r="L252" s="54">
        <v>1</v>
      </c>
      <c r="M252" s="55"/>
    </row>
    <row r="253" spans="1:13" x14ac:dyDescent="0.25">
      <c r="A253" s="39" t="s">
        <v>534</v>
      </c>
      <c r="B253" s="46" t="s">
        <v>285</v>
      </c>
      <c r="C253" s="39" t="s">
        <v>465</v>
      </c>
      <c r="D253" s="72">
        <v>130619578</v>
      </c>
      <c r="E253" s="73">
        <v>9195057530</v>
      </c>
      <c r="F253" s="39" t="s">
        <v>247</v>
      </c>
      <c r="G253" s="49">
        <v>37719</v>
      </c>
      <c r="H253" s="50" t="str">
        <f t="shared" si="6"/>
        <v>Apr</v>
      </c>
      <c r="I253" s="51">
        <f t="shared" ca="1" si="7"/>
        <v>13</v>
      </c>
      <c r="J253" s="52"/>
      <c r="K253" s="53">
        <v>107420</v>
      </c>
      <c r="L253" s="54">
        <v>5</v>
      </c>
      <c r="M253" s="55"/>
    </row>
    <row r="254" spans="1:13" x14ac:dyDescent="0.25">
      <c r="A254" s="39" t="s">
        <v>535</v>
      </c>
      <c r="B254" s="46" t="s">
        <v>245</v>
      </c>
      <c r="C254" s="39" t="s">
        <v>465</v>
      </c>
      <c r="D254" s="72">
        <v>353414196</v>
      </c>
      <c r="E254" s="73">
        <v>2528159919</v>
      </c>
      <c r="F254" s="39" t="s">
        <v>256</v>
      </c>
      <c r="G254" s="49">
        <v>37699</v>
      </c>
      <c r="H254" s="50" t="str">
        <f t="shared" si="6"/>
        <v>Mar</v>
      </c>
      <c r="I254" s="51">
        <f t="shared" ca="1" si="7"/>
        <v>13</v>
      </c>
      <c r="J254" s="52" t="s">
        <v>267</v>
      </c>
      <c r="K254" s="53">
        <v>28380</v>
      </c>
      <c r="L254" s="54">
        <v>1</v>
      </c>
      <c r="M254" s="55"/>
    </row>
    <row r="255" spans="1:13" x14ac:dyDescent="0.25">
      <c r="A255" s="39" t="s">
        <v>536</v>
      </c>
      <c r="B255" s="46" t="s">
        <v>271</v>
      </c>
      <c r="C255" s="39" t="s">
        <v>465</v>
      </c>
      <c r="D255" s="72">
        <v>506577536</v>
      </c>
      <c r="E255" s="73">
        <v>2524999647</v>
      </c>
      <c r="F255" s="39" t="s">
        <v>252</v>
      </c>
      <c r="G255" s="49">
        <v>37306</v>
      </c>
      <c r="H255" s="50" t="str">
        <f t="shared" si="6"/>
        <v>Feb</v>
      </c>
      <c r="I255" s="51">
        <f t="shared" ca="1" si="7"/>
        <v>14</v>
      </c>
      <c r="J255" s="52"/>
      <c r="K255" s="53">
        <v>11310</v>
      </c>
      <c r="L255" s="54">
        <v>4</v>
      </c>
      <c r="M255" s="55"/>
    </row>
    <row r="256" spans="1:13" x14ac:dyDescent="0.25">
      <c r="A256" s="39" t="s">
        <v>537</v>
      </c>
      <c r="B256" s="46" t="s">
        <v>271</v>
      </c>
      <c r="C256" s="39" t="s">
        <v>465</v>
      </c>
      <c r="D256" s="72">
        <v>280304785</v>
      </c>
      <c r="E256" s="73">
        <v>2525918708</v>
      </c>
      <c r="F256" s="39" t="s">
        <v>256</v>
      </c>
      <c r="G256" s="49">
        <v>36997</v>
      </c>
      <c r="H256" s="50" t="str">
        <f t="shared" si="6"/>
        <v>Apr</v>
      </c>
      <c r="I256" s="51">
        <f t="shared" ca="1" si="7"/>
        <v>15</v>
      </c>
      <c r="J256" s="52" t="s">
        <v>257</v>
      </c>
      <c r="K256" s="53">
        <v>48410</v>
      </c>
      <c r="L256" s="54">
        <v>2</v>
      </c>
      <c r="M256" s="55"/>
    </row>
    <row r="257" spans="1:13" x14ac:dyDescent="0.25">
      <c r="A257" s="39" t="s">
        <v>538</v>
      </c>
      <c r="B257" s="46" t="s">
        <v>280</v>
      </c>
      <c r="C257" s="39" t="s">
        <v>465</v>
      </c>
      <c r="D257" s="72">
        <v>466293520</v>
      </c>
      <c r="E257" s="73">
        <v>2524442142</v>
      </c>
      <c r="F257" s="39" t="s">
        <v>252</v>
      </c>
      <c r="G257" s="49">
        <v>34752</v>
      </c>
      <c r="H257" s="50" t="str">
        <f t="shared" si="6"/>
        <v>Feb</v>
      </c>
      <c r="I257" s="51">
        <f t="shared" ca="1" si="7"/>
        <v>21</v>
      </c>
      <c r="J257" s="52"/>
      <c r="K257" s="53">
        <v>26810</v>
      </c>
      <c r="L257" s="54">
        <v>4</v>
      </c>
      <c r="M257" s="55"/>
    </row>
    <row r="258" spans="1:13" x14ac:dyDescent="0.25">
      <c r="A258" s="39" t="s">
        <v>539</v>
      </c>
      <c r="B258" s="46" t="s">
        <v>266</v>
      </c>
      <c r="C258" s="39" t="s">
        <v>465</v>
      </c>
      <c r="D258" s="72">
        <v>858800513</v>
      </c>
      <c r="E258" s="73">
        <v>9193547588</v>
      </c>
      <c r="F258" s="39" t="s">
        <v>256</v>
      </c>
      <c r="G258" s="49">
        <v>40313</v>
      </c>
      <c r="H258" s="50" t="str">
        <f t="shared" ref="H258:H321" si="8">CHOOSE(MONTH(G258),"Jan","Feb","Mar","Apr","May","Jun","Jul","Aug","Sep","Oct","Nov","Dec")</f>
        <v>May</v>
      </c>
      <c r="I258" s="51">
        <f t="shared" ref="I258:I321" ca="1" si="9">DATEDIF(G258,TODAY(),"Y")</f>
        <v>6</v>
      </c>
      <c r="J258" s="52" t="s">
        <v>262</v>
      </c>
      <c r="K258" s="53">
        <v>85240</v>
      </c>
      <c r="L258" s="54">
        <v>3</v>
      </c>
      <c r="M258" s="55"/>
    </row>
    <row r="259" spans="1:13" x14ac:dyDescent="0.25">
      <c r="A259" s="39" t="s">
        <v>540</v>
      </c>
      <c r="B259" s="46" t="s">
        <v>285</v>
      </c>
      <c r="C259" s="39" t="s">
        <v>465</v>
      </c>
      <c r="D259" s="72">
        <v>635767088</v>
      </c>
      <c r="E259" s="73">
        <v>2522153322</v>
      </c>
      <c r="F259" s="39" t="s">
        <v>247</v>
      </c>
      <c r="G259" s="49">
        <v>37978</v>
      </c>
      <c r="H259" s="50" t="str">
        <f t="shared" si="8"/>
        <v>Dec</v>
      </c>
      <c r="I259" s="51">
        <f t="shared" ca="1" si="9"/>
        <v>12</v>
      </c>
      <c r="J259" s="52"/>
      <c r="K259" s="53">
        <v>82210</v>
      </c>
      <c r="L259" s="54">
        <v>5</v>
      </c>
      <c r="M259" s="55"/>
    </row>
    <row r="260" spans="1:13" x14ac:dyDescent="0.25">
      <c r="A260" s="39" t="s">
        <v>541</v>
      </c>
      <c r="B260" s="46" t="s">
        <v>271</v>
      </c>
      <c r="C260" s="39" t="s">
        <v>465</v>
      </c>
      <c r="D260" s="72">
        <v>512405919</v>
      </c>
      <c r="E260" s="73">
        <v>9195858234</v>
      </c>
      <c r="F260" s="39" t="s">
        <v>256</v>
      </c>
      <c r="G260" s="49">
        <v>38437</v>
      </c>
      <c r="H260" s="50" t="str">
        <f t="shared" si="8"/>
        <v>Mar</v>
      </c>
      <c r="I260" s="51">
        <f t="shared" ca="1" si="9"/>
        <v>11</v>
      </c>
      <c r="J260" s="52" t="s">
        <v>267</v>
      </c>
      <c r="K260" s="53">
        <v>76960</v>
      </c>
      <c r="L260" s="54">
        <v>1</v>
      </c>
      <c r="M260" s="55"/>
    </row>
    <row r="261" spans="1:13" x14ac:dyDescent="0.25">
      <c r="A261" s="39" t="s">
        <v>542</v>
      </c>
      <c r="B261" s="46" t="s">
        <v>271</v>
      </c>
      <c r="C261" s="39" t="s">
        <v>465</v>
      </c>
      <c r="D261" s="72">
        <v>616417564</v>
      </c>
      <c r="E261" s="73">
        <v>9191806180</v>
      </c>
      <c r="F261" s="39" t="s">
        <v>247</v>
      </c>
      <c r="G261" s="49">
        <v>36452</v>
      </c>
      <c r="H261" s="50" t="str">
        <f t="shared" si="8"/>
        <v>Oct</v>
      </c>
      <c r="I261" s="51">
        <f t="shared" ca="1" si="9"/>
        <v>17</v>
      </c>
      <c r="J261" s="52"/>
      <c r="K261" s="53">
        <v>50580</v>
      </c>
      <c r="L261" s="54">
        <v>5</v>
      </c>
      <c r="M261" s="55"/>
    </row>
    <row r="262" spans="1:13" x14ac:dyDescent="0.25">
      <c r="A262" s="39" t="s">
        <v>543</v>
      </c>
      <c r="B262" s="46" t="s">
        <v>251</v>
      </c>
      <c r="C262" s="39" t="s">
        <v>465</v>
      </c>
      <c r="D262" s="72">
        <v>624234626</v>
      </c>
      <c r="E262" s="73">
        <v>2523077504</v>
      </c>
      <c r="F262" s="39" t="s">
        <v>261</v>
      </c>
      <c r="G262" s="49">
        <v>36344</v>
      </c>
      <c r="H262" s="50" t="str">
        <f t="shared" si="8"/>
        <v>Jul</v>
      </c>
      <c r="I262" s="51">
        <f t="shared" ca="1" si="9"/>
        <v>17</v>
      </c>
      <c r="J262" s="52" t="s">
        <v>257</v>
      </c>
      <c r="K262" s="53">
        <v>55970</v>
      </c>
      <c r="L262" s="54">
        <v>5</v>
      </c>
      <c r="M262" s="55"/>
    </row>
    <row r="263" spans="1:13" x14ac:dyDescent="0.25">
      <c r="A263" s="39" t="s">
        <v>544</v>
      </c>
      <c r="B263" s="46" t="s">
        <v>245</v>
      </c>
      <c r="C263" s="39" t="s">
        <v>465</v>
      </c>
      <c r="D263" s="72">
        <v>361925033</v>
      </c>
      <c r="E263" s="73">
        <v>9196633751</v>
      </c>
      <c r="F263" s="39" t="s">
        <v>247</v>
      </c>
      <c r="G263" s="49">
        <v>39290</v>
      </c>
      <c r="H263" s="50" t="str">
        <f t="shared" si="8"/>
        <v>Jul</v>
      </c>
      <c r="I263" s="51">
        <f t="shared" ca="1" si="9"/>
        <v>9</v>
      </c>
      <c r="J263" s="52"/>
      <c r="K263" s="53">
        <v>86200</v>
      </c>
      <c r="L263" s="54">
        <v>3</v>
      </c>
      <c r="M263" s="55"/>
    </row>
    <row r="264" spans="1:13" x14ac:dyDescent="0.25">
      <c r="A264" s="39" t="s">
        <v>545</v>
      </c>
      <c r="B264" s="46" t="s">
        <v>285</v>
      </c>
      <c r="C264" s="39" t="s">
        <v>465</v>
      </c>
      <c r="D264" s="72">
        <v>251824309</v>
      </c>
      <c r="E264" s="73">
        <v>9197950668</v>
      </c>
      <c r="F264" s="39" t="s">
        <v>247</v>
      </c>
      <c r="G264" s="49">
        <v>37730</v>
      </c>
      <c r="H264" s="50" t="str">
        <f t="shared" si="8"/>
        <v>Apr</v>
      </c>
      <c r="I264" s="51">
        <f t="shared" ca="1" si="9"/>
        <v>13</v>
      </c>
      <c r="J264" s="52"/>
      <c r="K264" s="53">
        <v>54500</v>
      </c>
      <c r="L264" s="54">
        <v>1</v>
      </c>
      <c r="M264" s="55"/>
    </row>
    <row r="265" spans="1:13" x14ac:dyDescent="0.25">
      <c r="A265" s="39" t="s">
        <v>546</v>
      </c>
      <c r="B265" s="46" t="s">
        <v>285</v>
      </c>
      <c r="C265" s="39" t="s">
        <v>465</v>
      </c>
      <c r="D265" s="72">
        <v>243062914</v>
      </c>
      <c r="E265" s="73">
        <v>9194018412</v>
      </c>
      <c r="F265" s="39" t="s">
        <v>256</v>
      </c>
      <c r="G265" s="49">
        <v>36200</v>
      </c>
      <c r="H265" s="50" t="str">
        <f t="shared" si="8"/>
        <v>Feb</v>
      </c>
      <c r="I265" s="51">
        <f t="shared" ca="1" si="9"/>
        <v>17</v>
      </c>
      <c r="J265" s="52" t="s">
        <v>257</v>
      </c>
      <c r="K265" s="53">
        <v>88140</v>
      </c>
      <c r="L265" s="54">
        <v>3</v>
      </c>
      <c r="M265" s="55"/>
    </row>
    <row r="266" spans="1:13" x14ac:dyDescent="0.25">
      <c r="A266" s="39" t="s">
        <v>547</v>
      </c>
      <c r="B266" s="46" t="s">
        <v>285</v>
      </c>
      <c r="C266" s="39" t="s">
        <v>465</v>
      </c>
      <c r="D266" s="72">
        <v>798466688</v>
      </c>
      <c r="E266" s="73">
        <v>9192232339</v>
      </c>
      <c r="F266" s="39" t="s">
        <v>256</v>
      </c>
      <c r="G266" s="49">
        <v>41204</v>
      </c>
      <c r="H266" s="50" t="str">
        <f t="shared" si="8"/>
        <v>Oct</v>
      </c>
      <c r="I266" s="51">
        <f t="shared" ca="1" si="9"/>
        <v>4</v>
      </c>
      <c r="J266" s="52" t="s">
        <v>257</v>
      </c>
      <c r="K266" s="53">
        <v>42720</v>
      </c>
      <c r="L266" s="54">
        <v>5</v>
      </c>
      <c r="M266" s="55"/>
    </row>
    <row r="267" spans="1:13" x14ac:dyDescent="0.25">
      <c r="A267" s="39" t="s">
        <v>548</v>
      </c>
      <c r="B267" s="46" t="s">
        <v>271</v>
      </c>
      <c r="C267" s="39" t="s">
        <v>465</v>
      </c>
      <c r="D267" s="72">
        <v>219245495</v>
      </c>
      <c r="E267" s="73">
        <v>9198256039</v>
      </c>
      <c r="F267" s="39" t="s">
        <v>247</v>
      </c>
      <c r="G267" s="49">
        <v>35426</v>
      </c>
      <c r="H267" s="50" t="str">
        <f t="shared" si="8"/>
        <v>Dec</v>
      </c>
      <c r="I267" s="51">
        <f t="shared" ca="1" si="9"/>
        <v>19</v>
      </c>
      <c r="J267" s="52"/>
      <c r="K267" s="53">
        <v>75970</v>
      </c>
      <c r="L267" s="54">
        <v>3</v>
      </c>
      <c r="M267" s="55"/>
    </row>
    <row r="268" spans="1:13" x14ac:dyDescent="0.25">
      <c r="A268" s="39" t="s">
        <v>549</v>
      </c>
      <c r="B268" s="46" t="s">
        <v>285</v>
      </c>
      <c r="C268" s="39" t="s">
        <v>465</v>
      </c>
      <c r="D268" s="72">
        <v>914330398</v>
      </c>
      <c r="E268" s="73">
        <v>9193498222</v>
      </c>
      <c r="F268" s="39" t="s">
        <v>256</v>
      </c>
      <c r="G268" s="49">
        <v>39822</v>
      </c>
      <c r="H268" s="50" t="str">
        <f t="shared" si="8"/>
        <v>Jan</v>
      </c>
      <c r="I268" s="51">
        <f t="shared" ca="1" si="9"/>
        <v>7</v>
      </c>
      <c r="J268" s="52" t="s">
        <v>283</v>
      </c>
      <c r="K268" s="53">
        <v>78860</v>
      </c>
      <c r="L268" s="54">
        <v>1</v>
      </c>
      <c r="M268" s="55"/>
    </row>
    <row r="269" spans="1:13" x14ac:dyDescent="0.25">
      <c r="A269" s="39" t="s">
        <v>550</v>
      </c>
      <c r="B269" s="46" t="s">
        <v>266</v>
      </c>
      <c r="C269" s="39" t="s">
        <v>465</v>
      </c>
      <c r="D269" s="72">
        <v>523758324</v>
      </c>
      <c r="E269" s="73">
        <v>9191308831</v>
      </c>
      <c r="F269" s="39" t="s">
        <v>256</v>
      </c>
      <c r="G269" s="49">
        <v>36362</v>
      </c>
      <c r="H269" s="50" t="str">
        <f t="shared" si="8"/>
        <v>Jul</v>
      </c>
      <c r="I269" s="51">
        <f t="shared" ca="1" si="9"/>
        <v>17</v>
      </c>
      <c r="J269" s="52" t="s">
        <v>257</v>
      </c>
      <c r="K269" s="53">
        <v>71180</v>
      </c>
      <c r="L269" s="54">
        <v>4</v>
      </c>
      <c r="M269" s="55"/>
    </row>
    <row r="270" spans="1:13" x14ac:dyDescent="0.25">
      <c r="A270" s="39" t="s">
        <v>551</v>
      </c>
      <c r="B270" s="46" t="s">
        <v>280</v>
      </c>
      <c r="C270" s="39" t="s">
        <v>465</v>
      </c>
      <c r="D270" s="72">
        <v>366740174</v>
      </c>
      <c r="E270" s="73">
        <v>2521549933</v>
      </c>
      <c r="F270" s="39" t="s">
        <v>252</v>
      </c>
      <c r="G270" s="49">
        <v>35166</v>
      </c>
      <c r="H270" s="50" t="str">
        <f t="shared" si="8"/>
        <v>Apr</v>
      </c>
      <c r="I270" s="51">
        <f t="shared" ca="1" si="9"/>
        <v>20</v>
      </c>
      <c r="J270" s="52"/>
      <c r="K270" s="53">
        <v>36500</v>
      </c>
      <c r="L270" s="54">
        <v>1</v>
      </c>
      <c r="M270" s="55"/>
    </row>
    <row r="271" spans="1:13" x14ac:dyDescent="0.25">
      <c r="A271" s="39" t="s">
        <v>552</v>
      </c>
      <c r="B271" s="46" t="s">
        <v>285</v>
      </c>
      <c r="C271" s="39" t="s">
        <v>465</v>
      </c>
      <c r="D271" s="72">
        <v>559376297</v>
      </c>
      <c r="E271" s="73">
        <v>9194888110</v>
      </c>
      <c r="F271" s="39" t="s">
        <v>256</v>
      </c>
      <c r="G271" s="49">
        <v>37432</v>
      </c>
      <c r="H271" s="50" t="str">
        <f t="shared" si="8"/>
        <v>Jun</v>
      </c>
      <c r="I271" s="51">
        <f t="shared" ca="1" si="9"/>
        <v>14</v>
      </c>
      <c r="J271" s="52" t="s">
        <v>257</v>
      </c>
      <c r="K271" s="53">
        <v>42980</v>
      </c>
      <c r="L271" s="54">
        <v>2</v>
      </c>
      <c r="M271" s="55"/>
    </row>
    <row r="272" spans="1:13" x14ac:dyDescent="0.25">
      <c r="A272" s="39" t="s">
        <v>553</v>
      </c>
      <c r="B272" s="46" t="s">
        <v>245</v>
      </c>
      <c r="C272" s="39" t="s">
        <v>465</v>
      </c>
      <c r="D272" s="72">
        <v>772163640</v>
      </c>
      <c r="E272" s="73">
        <v>9192474315</v>
      </c>
      <c r="F272" s="39" t="s">
        <v>256</v>
      </c>
      <c r="G272" s="49">
        <v>37445</v>
      </c>
      <c r="H272" s="50" t="str">
        <f t="shared" si="8"/>
        <v>Jul</v>
      </c>
      <c r="I272" s="51">
        <f t="shared" ca="1" si="9"/>
        <v>14</v>
      </c>
      <c r="J272" s="52" t="s">
        <v>257</v>
      </c>
      <c r="K272" s="53">
        <v>80740</v>
      </c>
      <c r="L272" s="54">
        <v>3</v>
      </c>
      <c r="M272" s="55"/>
    </row>
    <row r="273" spans="1:13" x14ac:dyDescent="0.25">
      <c r="A273" s="39" t="s">
        <v>554</v>
      </c>
      <c r="B273" s="46" t="s">
        <v>245</v>
      </c>
      <c r="C273" s="39" t="s">
        <v>465</v>
      </c>
      <c r="D273" s="72">
        <v>416394493</v>
      </c>
      <c r="E273" s="73">
        <v>2525228252</v>
      </c>
      <c r="F273" s="39" t="s">
        <v>256</v>
      </c>
      <c r="G273" s="49">
        <v>36939</v>
      </c>
      <c r="H273" s="50" t="str">
        <f t="shared" si="8"/>
        <v>Feb</v>
      </c>
      <c r="I273" s="51">
        <f t="shared" ca="1" si="9"/>
        <v>15</v>
      </c>
      <c r="J273" s="52" t="s">
        <v>267</v>
      </c>
      <c r="K273" s="53">
        <v>66540</v>
      </c>
      <c r="L273" s="54">
        <v>5</v>
      </c>
      <c r="M273" s="55"/>
    </row>
    <row r="274" spans="1:13" x14ac:dyDescent="0.25">
      <c r="A274" s="39" t="s">
        <v>555</v>
      </c>
      <c r="B274" s="46" t="s">
        <v>285</v>
      </c>
      <c r="C274" s="39" t="s">
        <v>465</v>
      </c>
      <c r="D274" s="72">
        <v>565952209</v>
      </c>
      <c r="E274" s="73">
        <v>2522889972</v>
      </c>
      <c r="F274" s="39" t="s">
        <v>256</v>
      </c>
      <c r="G274" s="49">
        <v>35972</v>
      </c>
      <c r="H274" s="50" t="str">
        <f t="shared" si="8"/>
        <v>Jun</v>
      </c>
      <c r="I274" s="51">
        <f t="shared" ca="1" si="9"/>
        <v>18</v>
      </c>
      <c r="J274" s="52" t="s">
        <v>283</v>
      </c>
      <c r="K274" s="53">
        <v>80460</v>
      </c>
      <c r="L274" s="54">
        <v>4</v>
      </c>
      <c r="M274" s="55"/>
    </row>
    <row r="275" spans="1:13" x14ac:dyDescent="0.25">
      <c r="A275" s="39" t="s">
        <v>556</v>
      </c>
      <c r="B275" s="46" t="s">
        <v>271</v>
      </c>
      <c r="C275" s="39" t="s">
        <v>465</v>
      </c>
      <c r="D275" s="72">
        <v>569701716</v>
      </c>
      <c r="E275" s="73">
        <v>2527461285</v>
      </c>
      <c r="F275" s="39" t="s">
        <v>261</v>
      </c>
      <c r="G275" s="49">
        <v>37178</v>
      </c>
      <c r="H275" s="50" t="str">
        <f t="shared" si="8"/>
        <v>Oct</v>
      </c>
      <c r="I275" s="51">
        <f t="shared" ca="1" si="9"/>
        <v>15</v>
      </c>
      <c r="J275" s="52" t="s">
        <v>267</v>
      </c>
      <c r="K275" s="53">
        <v>26000</v>
      </c>
      <c r="L275" s="54">
        <v>2</v>
      </c>
      <c r="M275" s="55"/>
    </row>
    <row r="276" spans="1:13" x14ac:dyDescent="0.25">
      <c r="A276" s="39" t="s">
        <v>557</v>
      </c>
      <c r="B276" s="46" t="s">
        <v>285</v>
      </c>
      <c r="C276" s="39" t="s">
        <v>465</v>
      </c>
      <c r="D276" s="72">
        <v>114005397</v>
      </c>
      <c r="E276" s="73">
        <v>2524694617</v>
      </c>
      <c r="F276" s="39" t="s">
        <v>247</v>
      </c>
      <c r="G276" s="49">
        <v>40190</v>
      </c>
      <c r="H276" s="50" t="str">
        <f t="shared" si="8"/>
        <v>Jan</v>
      </c>
      <c r="I276" s="51">
        <f t="shared" ca="1" si="9"/>
        <v>6</v>
      </c>
      <c r="J276" s="52"/>
      <c r="K276" s="53">
        <v>76620</v>
      </c>
      <c r="L276" s="54">
        <v>2</v>
      </c>
      <c r="M276" s="55"/>
    </row>
    <row r="277" spans="1:13" x14ac:dyDescent="0.25">
      <c r="A277" s="39" t="s">
        <v>558</v>
      </c>
      <c r="B277" s="46" t="s">
        <v>280</v>
      </c>
      <c r="C277" s="39" t="s">
        <v>465</v>
      </c>
      <c r="D277" s="72">
        <v>312019803</v>
      </c>
      <c r="E277" s="73">
        <v>9197961953</v>
      </c>
      <c r="F277" s="39" t="s">
        <v>256</v>
      </c>
      <c r="G277" s="49">
        <v>38230</v>
      </c>
      <c r="H277" s="50" t="str">
        <f t="shared" si="8"/>
        <v>Aug</v>
      </c>
      <c r="I277" s="51">
        <f t="shared" ca="1" si="9"/>
        <v>12</v>
      </c>
      <c r="J277" s="52" t="s">
        <v>283</v>
      </c>
      <c r="K277" s="53">
        <v>30370</v>
      </c>
      <c r="L277" s="54">
        <v>4</v>
      </c>
      <c r="M277" s="55"/>
    </row>
    <row r="278" spans="1:13" x14ac:dyDescent="0.25">
      <c r="A278" s="39" t="s">
        <v>559</v>
      </c>
      <c r="B278" s="46" t="s">
        <v>245</v>
      </c>
      <c r="C278" s="39" t="s">
        <v>465</v>
      </c>
      <c r="D278" s="72">
        <v>661850671</v>
      </c>
      <c r="E278" s="73">
        <v>2528405900</v>
      </c>
      <c r="F278" s="39" t="s">
        <v>252</v>
      </c>
      <c r="G278" s="49">
        <v>36830</v>
      </c>
      <c r="H278" s="50" t="str">
        <f t="shared" si="8"/>
        <v>Oct</v>
      </c>
      <c r="I278" s="51">
        <f t="shared" ca="1" si="9"/>
        <v>16</v>
      </c>
      <c r="J278" s="52"/>
      <c r="K278" s="53">
        <v>35010</v>
      </c>
      <c r="L278" s="54">
        <v>3</v>
      </c>
      <c r="M278" s="55"/>
    </row>
    <row r="279" spans="1:13" x14ac:dyDescent="0.25">
      <c r="A279" s="39" t="s">
        <v>560</v>
      </c>
      <c r="B279" s="46" t="s">
        <v>245</v>
      </c>
      <c r="C279" s="39" t="s">
        <v>465</v>
      </c>
      <c r="D279" s="72">
        <v>427260216</v>
      </c>
      <c r="E279" s="73">
        <v>9198999194</v>
      </c>
      <c r="F279" s="39" t="s">
        <v>261</v>
      </c>
      <c r="G279" s="49">
        <v>35164</v>
      </c>
      <c r="H279" s="50" t="str">
        <f t="shared" si="8"/>
        <v>Apr</v>
      </c>
      <c r="I279" s="51">
        <f t="shared" ca="1" si="9"/>
        <v>20</v>
      </c>
      <c r="J279" s="52" t="s">
        <v>262</v>
      </c>
      <c r="K279" s="53">
        <v>22670</v>
      </c>
      <c r="L279" s="54">
        <v>4</v>
      </c>
      <c r="M279" s="55"/>
    </row>
    <row r="280" spans="1:13" x14ac:dyDescent="0.25">
      <c r="A280" s="39" t="s">
        <v>561</v>
      </c>
      <c r="B280" s="46" t="s">
        <v>271</v>
      </c>
      <c r="C280" s="39" t="s">
        <v>465</v>
      </c>
      <c r="D280" s="72">
        <v>910964196</v>
      </c>
      <c r="E280" s="73">
        <v>9194361873</v>
      </c>
      <c r="F280" s="39" t="s">
        <v>247</v>
      </c>
      <c r="G280" s="49">
        <v>34820</v>
      </c>
      <c r="H280" s="50" t="str">
        <f t="shared" si="8"/>
        <v>May</v>
      </c>
      <c r="I280" s="51">
        <f t="shared" ca="1" si="9"/>
        <v>21</v>
      </c>
      <c r="J280" s="52"/>
      <c r="K280" s="53">
        <v>59440</v>
      </c>
      <c r="L280" s="54">
        <v>2</v>
      </c>
      <c r="M280" s="55"/>
    </row>
    <row r="281" spans="1:13" x14ac:dyDescent="0.25">
      <c r="A281" s="39" t="s">
        <v>562</v>
      </c>
      <c r="B281" s="46" t="s">
        <v>285</v>
      </c>
      <c r="C281" s="39" t="s">
        <v>465</v>
      </c>
      <c r="D281" s="72">
        <v>110547055</v>
      </c>
      <c r="E281" s="73">
        <v>2526966637</v>
      </c>
      <c r="F281" s="39" t="s">
        <v>261</v>
      </c>
      <c r="G281" s="49">
        <v>37361</v>
      </c>
      <c r="H281" s="50" t="str">
        <f t="shared" si="8"/>
        <v>Apr</v>
      </c>
      <c r="I281" s="51">
        <f t="shared" ca="1" si="9"/>
        <v>14</v>
      </c>
      <c r="J281" s="52" t="s">
        <v>283</v>
      </c>
      <c r="K281" s="53">
        <v>13280</v>
      </c>
      <c r="L281" s="54">
        <v>1</v>
      </c>
      <c r="M281" s="55"/>
    </row>
    <row r="282" spans="1:13" x14ac:dyDescent="0.25">
      <c r="A282" s="39" t="s">
        <v>563</v>
      </c>
      <c r="B282" s="46" t="s">
        <v>271</v>
      </c>
      <c r="C282" s="39" t="s">
        <v>465</v>
      </c>
      <c r="D282" s="72">
        <v>995858336</v>
      </c>
      <c r="E282" s="73">
        <v>2525035104</v>
      </c>
      <c r="F282" s="39" t="s">
        <v>247</v>
      </c>
      <c r="G282" s="49">
        <v>41471</v>
      </c>
      <c r="H282" s="50" t="str">
        <f t="shared" si="8"/>
        <v>Jul</v>
      </c>
      <c r="I282" s="51">
        <f t="shared" ca="1" si="9"/>
        <v>3</v>
      </c>
      <c r="J282" s="52"/>
      <c r="K282" s="53">
        <v>45410</v>
      </c>
      <c r="L282" s="54">
        <v>1</v>
      </c>
      <c r="M282" s="55"/>
    </row>
    <row r="283" spans="1:13" x14ac:dyDescent="0.25">
      <c r="A283" s="39" t="s">
        <v>564</v>
      </c>
      <c r="B283" s="46" t="s">
        <v>271</v>
      </c>
      <c r="C283" s="39" t="s">
        <v>465</v>
      </c>
      <c r="D283" s="72">
        <v>930314379</v>
      </c>
      <c r="E283" s="73">
        <v>2524854867</v>
      </c>
      <c r="F283" s="39" t="s">
        <v>256</v>
      </c>
      <c r="G283" s="49">
        <v>40391</v>
      </c>
      <c r="H283" s="50" t="str">
        <f t="shared" si="8"/>
        <v>Aug</v>
      </c>
      <c r="I283" s="51">
        <f t="shared" ca="1" si="9"/>
        <v>6</v>
      </c>
      <c r="J283" s="52" t="s">
        <v>267</v>
      </c>
      <c r="K283" s="53">
        <v>85790</v>
      </c>
      <c r="L283" s="54">
        <v>5</v>
      </c>
      <c r="M283" s="55"/>
    </row>
    <row r="284" spans="1:13" x14ac:dyDescent="0.25">
      <c r="A284" s="39" t="s">
        <v>565</v>
      </c>
      <c r="B284" s="46" t="s">
        <v>245</v>
      </c>
      <c r="C284" s="39" t="s">
        <v>465</v>
      </c>
      <c r="D284" s="72">
        <v>138607245</v>
      </c>
      <c r="E284" s="73">
        <v>2522140101</v>
      </c>
      <c r="F284" s="39" t="s">
        <v>247</v>
      </c>
      <c r="G284" s="49">
        <v>35054</v>
      </c>
      <c r="H284" s="50" t="str">
        <f t="shared" si="8"/>
        <v>Dec</v>
      </c>
      <c r="I284" s="51">
        <f t="shared" ca="1" si="9"/>
        <v>20</v>
      </c>
      <c r="J284" s="52"/>
      <c r="K284" s="53">
        <v>95060</v>
      </c>
      <c r="L284" s="54">
        <v>4</v>
      </c>
      <c r="M284" s="55"/>
    </row>
    <row r="285" spans="1:13" x14ac:dyDescent="0.25">
      <c r="A285" s="39" t="s">
        <v>566</v>
      </c>
      <c r="B285" s="46" t="s">
        <v>271</v>
      </c>
      <c r="C285" s="39" t="s">
        <v>465</v>
      </c>
      <c r="D285" s="72">
        <v>853268713</v>
      </c>
      <c r="E285" s="73">
        <v>9192712826</v>
      </c>
      <c r="F285" s="39" t="s">
        <v>256</v>
      </c>
      <c r="G285" s="49">
        <v>36590</v>
      </c>
      <c r="H285" s="50" t="str">
        <f t="shared" si="8"/>
        <v>Mar</v>
      </c>
      <c r="I285" s="51">
        <f t="shared" ca="1" si="9"/>
        <v>16</v>
      </c>
      <c r="J285" s="52" t="s">
        <v>257</v>
      </c>
      <c r="K285" s="53">
        <v>72340</v>
      </c>
      <c r="L285" s="54">
        <v>1</v>
      </c>
      <c r="M285" s="55"/>
    </row>
    <row r="286" spans="1:13" x14ac:dyDescent="0.25">
      <c r="A286" s="39" t="s">
        <v>567</v>
      </c>
      <c r="B286" s="46" t="s">
        <v>280</v>
      </c>
      <c r="C286" s="39" t="s">
        <v>465</v>
      </c>
      <c r="D286" s="72">
        <v>596008829</v>
      </c>
      <c r="E286" s="73">
        <v>9198721709</v>
      </c>
      <c r="F286" s="39" t="s">
        <v>247</v>
      </c>
      <c r="G286" s="49">
        <v>37012</v>
      </c>
      <c r="H286" s="50" t="str">
        <f t="shared" si="8"/>
        <v>May</v>
      </c>
      <c r="I286" s="51">
        <f t="shared" ca="1" si="9"/>
        <v>15</v>
      </c>
      <c r="J286" s="52"/>
      <c r="K286" s="53">
        <v>54060</v>
      </c>
      <c r="L286" s="54">
        <v>1</v>
      </c>
      <c r="M286" s="55"/>
    </row>
    <row r="287" spans="1:13" x14ac:dyDescent="0.25">
      <c r="A287" s="39" t="s">
        <v>568</v>
      </c>
      <c r="B287" s="46" t="s">
        <v>271</v>
      </c>
      <c r="C287" s="39" t="s">
        <v>465</v>
      </c>
      <c r="D287" s="72">
        <v>462995574</v>
      </c>
      <c r="E287" s="73">
        <v>2523431009</v>
      </c>
      <c r="F287" s="39" t="s">
        <v>256</v>
      </c>
      <c r="G287" s="49">
        <v>37102</v>
      </c>
      <c r="H287" s="50" t="str">
        <f t="shared" si="8"/>
        <v>Jul</v>
      </c>
      <c r="I287" s="51">
        <f t="shared" ca="1" si="9"/>
        <v>15</v>
      </c>
      <c r="J287" s="52" t="s">
        <v>257</v>
      </c>
      <c r="K287" s="53">
        <v>105890</v>
      </c>
      <c r="L287" s="54">
        <v>5</v>
      </c>
      <c r="M287" s="55"/>
    </row>
    <row r="288" spans="1:13" x14ac:dyDescent="0.25">
      <c r="A288" s="39" t="s">
        <v>569</v>
      </c>
      <c r="B288" s="46" t="s">
        <v>271</v>
      </c>
      <c r="C288" s="39" t="s">
        <v>465</v>
      </c>
      <c r="D288" s="72">
        <v>914326052</v>
      </c>
      <c r="E288" s="73">
        <v>2524249228</v>
      </c>
      <c r="F288" s="39" t="s">
        <v>256</v>
      </c>
      <c r="G288" s="49">
        <v>37536</v>
      </c>
      <c r="H288" s="50" t="str">
        <f t="shared" si="8"/>
        <v>Oct</v>
      </c>
      <c r="I288" s="51">
        <f t="shared" ca="1" si="9"/>
        <v>14</v>
      </c>
      <c r="J288" s="52" t="s">
        <v>257</v>
      </c>
      <c r="K288" s="53">
        <v>91430</v>
      </c>
      <c r="L288" s="54">
        <v>4</v>
      </c>
      <c r="M288" s="55"/>
    </row>
    <row r="289" spans="1:13" x14ac:dyDescent="0.25">
      <c r="A289" s="39" t="s">
        <v>570</v>
      </c>
      <c r="B289" s="46" t="s">
        <v>271</v>
      </c>
      <c r="C289" s="39" t="s">
        <v>465</v>
      </c>
      <c r="D289" s="72">
        <v>687006783</v>
      </c>
      <c r="E289" s="73">
        <v>2524919418</v>
      </c>
      <c r="F289" s="39" t="s">
        <v>247</v>
      </c>
      <c r="G289" s="49">
        <v>36380</v>
      </c>
      <c r="H289" s="50" t="str">
        <f t="shared" si="8"/>
        <v>Aug</v>
      </c>
      <c r="I289" s="51">
        <f t="shared" ca="1" si="9"/>
        <v>17</v>
      </c>
      <c r="J289" s="52"/>
      <c r="K289" s="53">
        <v>79210</v>
      </c>
      <c r="L289" s="54">
        <v>2</v>
      </c>
      <c r="M289" s="55"/>
    </row>
    <row r="290" spans="1:13" x14ac:dyDescent="0.25">
      <c r="A290" s="39" t="s">
        <v>571</v>
      </c>
      <c r="B290" s="46" t="s">
        <v>285</v>
      </c>
      <c r="C290" s="39" t="s">
        <v>465</v>
      </c>
      <c r="D290" s="72">
        <v>594680949</v>
      </c>
      <c r="E290" s="73">
        <v>9192375580</v>
      </c>
      <c r="F290" s="39" t="s">
        <v>261</v>
      </c>
      <c r="G290" s="49">
        <v>37423</v>
      </c>
      <c r="H290" s="50" t="str">
        <f t="shared" si="8"/>
        <v>Jun</v>
      </c>
      <c r="I290" s="51">
        <f t="shared" ca="1" si="9"/>
        <v>14</v>
      </c>
      <c r="J290" s="52" t="s">
        <v>283</v>
      </c>
      <c r="K290" s="53">
        <v>20720</v>
      </c>
      <c r="L290" s="54">
        <v>5</v>
      </c>
      <c r="M290" s="55"/>
    </row>
    <row r="291" spans="1:13" x14ac:dyDescent="0.25">
      <c r="A291" s="39" t="s">
        <v>572</v>
      </c>
      <c r="B291" s="46" t="s">
        <v>266</v>
      </c>
      <c r="C291" s="39" t="s">
        <v>465</v>
      </c>
      <c r="D291" s="72">
        <v>596641549</v>
      </c>
      <c r="E291" s="73">
        <v>9196194175</v>
      </c>
      <c r="F291" s="39" t="s">
        <v>247</v>
      </c>
      <c r="G291" s="49">
        <v>37351</v>
      </c>
      <c r="H291" s="50" t="str">
        <f t="shared" si="8"/>
        <v>Apr</v>
      </c>
      <c r="I291" s="51">
        <f t="shared" ca="1" si="9"/>
        <v>14</v>
      </c>
      <c r="J291" s="52"/>
      <c r="K291" s="53">
        <v>32860</v>
      </c>
      <c r="L291" s="54">
        <v>3</v>
      </c>
      <c r="M291" s="55"/>
    </row>
    <row r="292" spans="1:13" x14ac:dyDescent="0.25">
      <c r="A292" s="39" t="s">
        <v>573</v>
      </c>
      <c r="B292" s="46" t="s">
        <v>280</v>
      </c>
      <c r="C292" s="39" t="s">
        <v>465</v>
      </c>
      <c r="D292" s="72">
        <v>993383806</v>
      </c>
      <c r="E292" s="73">
        <v>2521810581</v>
      </c>
      <c r="F292" s="39" t="s">
        <v>252</v>
      </c>
      <c r="G292" s="49">
        <v>37068</v>
      </c>
      <c r="H292" s="50" t="str">
        <f t="shared" si="8"/>
        <v>Jun</v>
      </c>
      <c r="I292" s="51">
        <f t="shared" ca="1" si="9"/>
        <v>15</v>
      </c>
      <c r="J292" s="52"/>
      <c r="K292" s="53">
        <v>45130</v>
      </c>
      <c r="L292" s="54">
        <v>4</v>
      </c>
      <c r="M292" s="55"/>
    </row>
    <row r="293" spans="1:13" x14ac:dyDescent="0.25">
      <c r="A293" s="39" t="s">
        <v>574</v>
      </c>
      <c r="B293" s="46" t="s">
        <v>271</v>
      </c>
      <c r="C293" s="39" t="s">
        <v>465</v>
      </c>
      <c r="D293" s="72">
        <v>829216164</v>
      </c>
      <c r="E293" s="73">
        <v>2524982487</v>
      </c>
      <c r="F293" s="39" t="s">
        <v>247</v>
      </c>
      <c r="G293" s="49">
        <v>40546</v>
      </c>
      <c r="H293" s="50" t="str">
        <f t="shared" si="8"/>
        <v>Jan</v>
      </c>
      <c r="I293" s="51">
        <f t="shared" ca="1" si="9"/>
        <v>5</v>
      </c>
      <c r="J293" s="52"/>
      <c r="K293" s="53">
        <v>101000</v>
      </c>
      <c r="L293" s="54">
        <v>2</v>
      </c>
      <c r="M293" s="55"/>
    </row>
    <row r="294" spans="1:13" x14ac:dyDescent="0.25">
      <c r="A294" s="39" t="s">
        <v>575</v>
      </c>
      <c r="B294" s="46" t="s">
        <v>271</v>
      </c>
      <c r="C294" s="39" t="s">
        <v>465</v>
      </c>
      <c r="D294" s="72">
        <v>371001908</v>
      </c>
      <c r="E294" s="73">
        <v>2527061632</v>
      </c>
      <c r="F294" s="39" t="s">
        <v>256</v>
      </c>
      <c r="G294" s="49">
        <v>36357</v>
      </c>
      <c r="H294" s="50" t="str">
        <f t="shared" si="8"/>
        <v>Jul</v>
      </c>
      <c r="I294" s="51">
        <f t="shared" ca="1" si="9"/>
        <v>17</v>
      </c>
      <c r="J294" s="52" t="s">
        <v>262</v>
      </c>
      <c r="K294" s="53">
        <v>54580</v>
      </c>
      <c r="L294" s="54">
        <v>4</v>
      </c>
      <c r="M294" s="55"/>
    </row>
    <row r="295" spans="1:13" x14ac:dyDescent="0.25">
      <c r="A295" s="39" t="s">
        <v>576</v>
      </c>
      <c r="B295" s="46" t="s">
        <v>280</v>
      </c>
      <c r="C295" s="39" t="s">
        <v>465</v>
      </c>
      <c r="D295" s="72">
        <v>180095803</v>
      </c>
      <c r="E295" s="73">
        <v>2526503334</v>
      </c>
      <c r="F295" s="39" t="s">
        <v>256</v>
      </c>
      <c r="G295" s="49">
        <v>40973</v>
      </c>
      <c r="H295" s="50" t="str">
        <f t="shared" si="8"/>
        <v>Mar</v>
      </c>
      <c r="I295" s="51">
        <f t="shared" ca="1" si="9"/>
        <v>4</v>
      </c>
      <c r="J295" s="52" t="s">
        <v>257</v>
      </c>
      <c r="K295" s="53">
        <v>93800</v>
      </c>
      <c r="L295" s="54">
        <v>5</v>
      </c>
      <c r="M295" s="55"/>
    </row>
    <row r="296" spans="1:13" x14ac:dyDescent="0.25">
      <c r="A296" s="39" t="s">
        <v>577</v>
      </c>
      <c r="B296" s="46" t="s">
        <v>271</v>
      </c>
      <c r="C296" s="39" t="s">
        <v>465</v>
      </c>
      <c r="D296" s="72">
        <v>820244290</v>
      </c>
      <c r="E296" s="73">
        <v>9194944596</v>
      </c>
      <c r="F296" s="39" t="s">
        <v>247</v>
      </c>
      <c r="G296" s="49">
        <v>34980</v>
      </c>
      <c r="H296" s="50" t="str">
        <f t="shared" si="8"/>
        <v>Oct</v>
      </c>
      <c r="I296" s="51">
        <f t="shared" ca="1" si="9"/>
        <v>21</v>
      </c>
      <c r="J296" s="52"/>
      <c r="K296" s="53">
        <v>88790</v>
      </c>
      <c r="L296" s="54">
        <v>3</v>
      </c>
      <c r="M296" s="55"/>
    </row>
    <row r="297" spans="1:13" x14ac:dyDescent="0.25">
      <c r="A297" s="39" t="s">
        <v>578</v>
      </c>
      <c r="B297" s="46" t="s">
        <v>280</v>
      </c>
      <c r="C297" s="39" t="s">
        <v>465</v>
      </c>
      <c r="D297" s="72">
        <v>969216994</v>
      </c>
      <c r="E297" s="73">
        <v>2528973095</v>
      </c>
      <c r="F297" s="39" t="s">
        <v>247</v>
      </c>
      <c r="G297" s="49">
        <v>37284</v>
      </c>
      <c r="H297" s="50" t="str">
        <f t="shared" si="8"/>
        <v>Jan</v>
      </c>
      <c r="I297" s="51">
        <f t="shared" ca="1" si="9"/>
        <v>14</v>
      </c>
      <c r="J297" s="52"/>
      <c r="K297" s="53">
        <v>30160</v>
      </c>
      <c r="L297" s="54">
        <v>5</v>
      </c>
      <c r="M297" s="55"/>
    </row>
    <row r="298" spans="1:13" x14ac:dyDescent="0.25">
      <c r="A298" s="39" t="s">
        <v>579</v>
      </c>
      <c r="B298" s="46" t="s">
        <v>285</v>
      </c>
      <c r="C298" s="39" t="s">
        <v>465</v>
      </c>
      <c r="D298" s="72">
        <v>930282755</v>
      </c>
      <c r="E298" s="73">
        <v>9192380636</v>
      </c>
      <c r="F298" s="39" t="s">
        <v>261</v>
      </c>
      <c r="G298" s="49">
        <v>36190</v>
      </c>
      <c r="H298" s="50" t="str">
        <f t="shared" si="8"/>
        <v>Jan</v>
      </c>
      <c r="I298" s="51">
        <f t="shared" ca="1" si="9"/>
        <v>17</v>
      </c>
      <c r="J298" s="52" t="s">
        <v>257</v>
      </c>
      <c r="K298" s="53">
        <v>55540</v>
      </c>
      <c r="L298" s="54">
        <v>5</v>
      </c>
      <c r="M298" s="55"/>
    </row>
    <row r="299" spans="1:13" x14ac:dyDescent="0.25">
      <c r="A299" s="39" t="s">
        <v>580</v>
      </c>
      <c r="B299" s="46" t="s">
        <v>245</v>
      </c>
      <c r="C299" s="39" t="s">
        <v>465</v>
      </c>
      <c r="D299" s="72">
        <v>136620388</v>
      </c>
      <c r="E299" s="73">
        <v>9195119214</v>
      </c>
      <c r="F299" s="39" t="s">
        <v>256</v>
      </c>
      <c r="G299" s="49">
        <v>36715</v>
      </c>
      <c r="H299" s="50" t="str">
        <f t="shared" si="8"/>
        <v>Jul</v>
      </c>
      <c r="I299" s="51">
        <f t="shared" ca="1" si="9"/>
        <v>16</v>
      </c>
      <c r="J299" s="52" t="s">
        <v>262</v>
      </c>
      <c r="K299" s="53">
        <v>84020</v>
      </c>
      <c r="L299" s="54">
        <v>3</v>
      </c>
      <c r="M299" s="55"/>
    </row>
    <row r="300" spans="1:13" x14ac:dyDescent="0.25">
      <c r="A300" s="39" t="s">
        <v>581</v>
      </c>
      <c r="B300" s="46" t="s">
        <v>266</v>
      </c>
      <c r="C300" s="39" t="s">
        <v>465</v>
      </c>
      <c r="D300" s="72">
        <v>425634540</v>
      </c>
      <c r="E300" s="73">
        <v>9196969994</v>
      </c>
      <c r="F300" s="39" t="s">
        <v>256</v>
      </c>
      <c r="G300" s="49">
        <v>41176</v>
      </c>
      <c r="H300" s="50" t="str">
        <f t="shared" si="8"/>
        <v>Sep</v>
      </c>
      <c r="I300" s="51">
        <f t="shared" ca="1" si="9"/>
        <v>4</v>
      </c>
      <c r="J300" s="52" t="s">
        <v>267</v>
      </c>
      <c r="K300" s="53">
        <v>41630</v>
      </c>
      <c r="L300" s="54">
        <v>2</v>
      </c>
      <c r="M300" s="55"/>
    </row>
    <row r="301" spans="1:13" x14ac:dyDescent="0.25">
      <c r="A301" s="39" t="s">
        <v>582</v>
      </c>
      <c r="B301" s="46" t="s">
        <v>251</v>
      </c>
      <c r="C301" s="39" t="s">
        <v>465</v>
      </c>
      <c r="D301" s="72">
        <v>944793994</v>
      </c>
      <c r="E301" s="73">
        <v>2525725646</v>
      </c>
      <c r="F301" s="39" t="s">
        <v>256</v>
      </c>
      <c r="G301" s="49">
        <v>35786</v>
      </c>
      <c r="H301" s="50" t="str">
        <f t="shared" si="8"/>
        <v>Dec</v>
      </c>
      <c r="I301" s="51">
        <f t="shared" ca="1" si="9"/>
        <v>18</v>
      </c>
      <c r="J301" s="52" t="s">
        <v>257</v>
      </c>
      <c r="K301" s="53">
        <v>29160</v>
      </c>
      <c r="L301" s="54">
        <v>3</v>
      </c>
      <c r="M301" s="55"/>
    </row>
    <row r="302" spans="1:13" x14ac:dyDescent="0.25">
      <c r="A302" s="39" t="s">
        <v>583</v>
      </c>
      <c r="B302" s="46" t="s">
        <v>285</v>
      </c>
      <c r="C302" s="39" t="s">
        <v>465</v>
      </c>
      <c r="D302" s="72">
        <v>249929042</v>
      </c>
      <c r="E302" s="73">
        <v>2525790872</v>
      </c>
      <c r="F302" s="39" t="s">
        <v>256</v>
      </c>
      <c r="G302" s="49">
        <v>39665</v>
      </c>
      <c r="H302" s="50" t="str">
        <f t="shared" si="8"/>
        <v>Aug</v>
      </c>
      <c r="I302" s="51">
        <f t="shared" ca="1" si="9"/>
        <v>8</v>
      </c>
      <c r="J302" s="52" t="s">
        <v>257</v>
      </c>
      <c r="K302" s="53">
        <v>73270</v>
      </c>
      <c r="L302" s="54">
        <v>5</v>
      </c>
      <c r="M302" s="55"/>
    </row>
    <row r="303" spans="1:13" x14ac:dyDescent="0.25">
      <c r="A303" s="39" t="s">
        <v>584</v>
      </c>
      <c r="B303" s="46" t="s">
        <v>251</v>
      </c>
      <c r="C303" s="39" t="s">
        <v>465</v>
      </c>
      <c r="D303" s="72">
        <v>783624212</v>
      </c>
      <c r="E303" s="73">
        <v>9193164024</v>
      </c>
      <c r="F303" s="39" t="s">
        <v>261</v>
      </c>
      <c r="G303" s="49">
        <v>35584</v>
      </c>
      <c r="H303" s="50" t="str">
        <f t="shared" si="8"/>
        <v>Jun</v>
      </c>
      <c r="I303" s="51">
        <f t="shared" ca="1" si="9"/>
        <v>19</v>
      </c>
      <c r="J303" s="52" t="s">
        <v>262</v>
      </c>
      <c r="K303" s="53">
        <v>18310</v>
      </c>
      <c r="L303" s="54">
        <v>2</v>
      </c>
      <c r="M303" s="55"/>
    </row>
    <row r="304" spans="1:13" x14ac:dyDescent="0.25">
      <c r="A304" s="39" t="s">
        <v>585</v>
      </c>
      <c r="B304" s="46" t="s">
        <v>285</v>
      </c>
      <c r="C304" s="39" t="s">
        <v>465</v>
      </c>
      <c r="D304" s="72">
        <v>291715078</v>
      </c>
      <c r="E304" s="73">
        <v>9197662359</v>
      </c>
      <c r="F304" s="39" t="s">
        <v>256</v>
      </c>
      <c r="G304" s="49">
        <v>34614</v>
      </c>
      <c r="H304" s="50" t="str">
        <f t="shared" si="8"/>
        <v>Oct</v>
      </c>
      <c r="I304" s="51">
        <f t="shared" ca="1" si="9"/>
        <v>22</v>
      </c>
      <c r="J304" s="52" t="s">
        <v>586</v>
      </c>
      <c r="K304" s="53">
        <v>68280</v>
      </c>
      <c r="L304" s="54">
        <v>5</v>
      </c>
      <c r="M304" s="55"/>
    </row>
    <row r="305" spans="1:13" x14ac:dyDescent="0.25">
      <c r="A305" s="39" t="s">
        <v>587</v>
      </c>
      <c r="B305" s="46" t="s">
        <v>285</v>
      </c>
      <c r="C305" s="39" t="s">
        <v>465</v>
      </c>
      <c r="D305" s="72">
        <v>378281658</v>
      </c>
      <c r="E305" s="73">
        <v>9196705508</v>
      </c>
      <c r="F305" s="39" t="s">
        <v>247</v>
      </c>
      <c r="G305" s="49">
        <v>39074</v>
      </c>
      <c r="H305" s="50" t="str">
        <f t="shared" si="8"/>
        <v>Dec</v>
      </c>
      <c r="I305" s="51">
        <f t="shared" ca="1" si="9"/>
        <v>9</v>
      </c>
      <c r="J305" s="52"/>
      <c r="K305" s="53">
        <v>47160</v>
      </c>
      <c r="L305" s="54">
        <v>2</v>
      </c>
      <c r="M305" s="55"/>
    </row>
    <row r="306" spans="1:13" x14ac:dyDescent="0.25">
      <c r="A306" s="39" t="s">
        <v>588</v>
      </c>
      <c r="B306" s="46" t="s">
        <v>285</v>
      </c>
      <c r="C306" s="39" t="s">
        <v>465</v>
      </c>
      <c r="D306" s="72">
        <v>948480407</v>
      </c>
      <c r="E306" s="73">
        <v>9191449596</v>
      </c>
      <c r="F306" s="39" t="s">
        <v>247</v>
      </c>
      <c r="G306" s="49">
        <v>38635</v>
      </c>
      <c r="H306" s="50" t="str">
        <f t="shared" si="8"/>
        <v>Oct</v>
      </c>
      <c r="I306" s="51">
        <f t="shared" ca="1" si="9"/>
        <v>11</v>
      </c>
      <c r="J306" s="52"/>
      <c r="K306" s="53">
        <v>73640</v>
      </c>
      <c r="L306" s="54">
        <v>3</v>
      </c>
      <c r="M306" s="55"/>
    </row>
    <row r="307" spans="1:13" x14ac:dyDescent="0.25">
      <c r="A307" s="39" t="s">
        <v>589</v>
      </c>
      <c r="B307" s="46" t="s">
        <v>245</v>
      </c>
      <c r="C307" s="39" t="s">
        <v>465</v>
      </c>
      <c r="D307" s="72">
        <v>159117255</v>
      </c>
      <c r="E307" s="73">
        <v>9198426889</v>
      </c>
      <c r="F307" s="39" t="s">
        <v>247</v>
      </c>
      <c r="G307" s="49">
        <v>40831</v>
      </c>
      <c r="H307" s="50" t="str">
        <f t="shared" si="8"/>
        <v>Oct</v>
      </c>
      <c r="I307" s="51">
        <f t="shared" ca="1" si="9"/>
        <v>5</v>
      </c>
      <c r="J307" s="52"/>
      <c r="K307" s="53">
        <v>94220</v>
      </c>
      <c r="L307" s="54">
        <v>4</v>
      </c>
      <c r="M307" s="55"/>
    </row>
    <row r="308" spans="1:13" x14ac:dyDescent="0.25">
      <c r="A308" s="39" t="s">
        <v>590</v>
      </c>
      <c r="B308" s="46" t="s">
        <v>251</v>
      </c>
      <c r="C308" s="39" t="s">
        <v>465</v>
      </c>
      <c r="D308" s="72">
        <v>311883362</v>
      </c>
      <c r="E308" s="73">
        <v>2526505454</v>
      </c>
      <c r="F308" s="39" t="s">
        <v>247</v>
      </c>
      <c r="G308" s="49">
        <v>38327</v>
      </c>
      <c r="H308" s="50" t="str">
        <f t="shared" si="8"/>
        <v>Dec</v>
      </c>
      <c r="I308" s="51">
        <f t="shared" ca="1" si="9"/>
        <v>11</v>
      </c>
      <c r="J308" s="52"/>
      <c r="K308" s="53">
        <v>63320</v>
      </c>
      <c r="L308" s="54">
        <v>2</v>
      </c>
      <c r="M308" s="55"/>
    </row>
    <row r="309" spans="1:13" x14ac:dyDescent="0.25">
      <c r="A309" s="39" t="s">
        <v>591</v>
      </c>
      <c r="B309" s="46" t="s">
        <v>285</v>
      </c>
      <c r="C309" s="39" t="s">
        <v>465</v>
      </c>
      <c r="D309" s="72">
        <v>412611335</v>
      </c>
      <c r="E309" s="73">
        <v>2525998691</v>
      </c>
      <c r="F309" s="39" t="s">
        <v>247</v>
      </c>
      <c r="G309" s="49">
        <v>39508</v>
      </c>
      <c r="H309" s="50" t="str">
        <f t="shared" si="8"/>
        <v>Mar</v>
      </c>
      <c r="I309" s="51">
        <f t="shared" ca="1" si="9"/>
        <v>8</v>
      </c>
      <c r="J309" s="52"/>
      <c r="K309" s="53">
        <v>49130</v>
      </c>
      <c r="L309" s="54">
        <v>2</v>
      </c>
      <c r="M309" s="55"/>
    </row>
    <row r="310" spans="1:13" x14ac:dyDescent="0.25">
      <c r="A310" s="39" t="s">
        <v>592</v>
      </c>
      <c r="B310" s="46" t="s">
        <v>251</v>
      </c>
      <c r="C310" s="39" t="s">
        <v>465</v>
      </c>
      <c r="D310" s="72">
        <v>696435191</v>
      </c>
      <c r="E310" s="73">
        <v>2527710498</v>
      </c>
      <c r="F310" s="39" t="s">
        <v>256</v>
      </c>
      <c r="G310" s="49">
        <v>36592</v>
      </c>
      <c r="H310" s="50" t="str">
        <f t="shared" si="8"/>
        <v>Mar</v>
      </c>
      <c r="I310" s="51">
        <f t="shared" ca="1" si="9"/>
        <v>16</v>
      </c>
      <c r="J310" s="52" t="s">
        <v>283</v>
      </c>
      <c r="K310" s="53">
        <v>73380</v>
      </c>
      <c r="L310" s="54">
        <v>2</v>
      </c>
      <c r="M310" s="55"/>
    </row>
    <row r="311" spans="1:13" x14ac:dyDescent="0.25">
      <c r="A311" s="39" t="s">
        <v>593</v>
      </c>
      <c r="B311" s="46" t="s">
        <v>245</v>
      </c>
      <c r="C311" s="39" t="s">
        <v>465</v>
      </c>
      <c r="D311" s="72">
        <v>328787467</v>
      </c>
      <c r="E311" s="73">
        <v>9194897618</v>
      </c>
      <c r="F311" s="39" t="s">
        <v>252</v>
      </c>
      <c r="G311" s="49">
        <v>40088</v>
      </c>
      <c r="H311" s="50" t="str">
        <f t="shared" si="8"/>
        <v>Oct</v>
      </c>
      <c r="I311" s="51">
        <f t="shared" ca="1" si="9"/>
        <v>7</v>
      </c>
      <c r="J311" s="52"/>
      <c r="K311" s="53">
        <v>17300</v>
      </c>
      <c r="L311" s="54">
        <v>4</v>
      </c>
      <c r="M311" s="55"/>
    </row>
    <row r="312" spans="1:13" x14ac:dyDescent="0.25">
      <c r="A312" s="39" t="s">
        <v>594</v>
      </c>
      <c r="B312" s="46" t="s">
        <v>271</v>
      </c>
      <c r="C312" s="39" t="s">
        <v>465</v>
      </c>
      <c r="D312" s="72">
        <v>257249459</v>
      </c>
      <c r="E312" s="73">
        <v>9197775023</v>
      </c>
      <c r="F312" s="39" t="s">
        <v>247</v>
      </c>
      <c r="G312" s="49">
        <v>37638</v>
      </c>
      <c r="H312" s="50" t="str">
        <f t="shared" si="8"/>
        <v>Jan</v>
      </c>
      <c r="I312" s="51">
        <f t="shared" ca="1" si="9"/>
        <v>13</v>
      </c>
      <c r="J312" s="52"/>
      <c r="K312" s="53">
        <v>69120</v>
      </c>
      <c r="L312" s="54">
        <v>3</v>
      </c>
      <c r="M312" s="55"/>
    </row>
    <row r="313" spans="1:13" x14ac:dyDescent="0.25">
      <c r="A313" s="39" t="s">
        <v>595</v>
      </c>
      <c r="B313" s="46" t="s">
        <v>245</v>
      </c>
      <c r="C313" s="39" t="s">
        <v>465</v>
      </c>
      <c r="D313" s="72">
        <v>313128501</v>
      </c>
      <c r="E313" s="73">
        <v>9193184277</v>
      </c>
      <c r="F313" s="39" t="s">
        <v>252</v>
      </c>
      <c r="G313" s="49">
        <v>36491</v>
      </c>
      <c r="H313" s="50" t="str">
        <f t="shared" si="8"/>
        <v>Nov</v>
      </c>
      <c r="I313" s="51">
        <f t="shared" ca="1" si="9"/>
        <v>16</v>
      </c>
      <c r="J313" s="52"/>
      <c r="K313" s="53">
        <v>26970</v>
      </c>
      <c r="L313" s="54">
        <v>1</v>
      </c>
      <c r="M313" s="55"/>
    </row>
    <row r="314" spans="1:13" x14ac:dyDescent="0.25">
      <c r="A314" s="39" t="s">
        <v>596</v>
      </c>
      <c r="B314" s="46" t="s">
        <v>271</v>
      </c>
      <c r="C314" s="39" t="s">
        <v>465</v>
      </c>
      <c r="D314" s="72">
        <v>147724014</v>
      </c>
      <c r="E314" s="73">
        <v>9192212512</v>
      </c>
      <c r="F314" s="39" t="s">
        <v>256</v>
      </c>
      <c r="G314" s="49">
        <v>36189</v>
      </c>
      <c r="H314" s="50" t="str">
        <f t="shared" si="8"/>
        <v>Jan</v>
      </c>
      <c r="I314" s="51">
        <f t="shared" ca="1" si="9"/>
        <v>17</v>
      </c>
      <c r="J314" s="52" t="s">
        <v>283</v>
      </c>
      <c r="K314" s="53">
        <v>53120</v>
      </c>
      <c r="L314" s="54">
        <v>2</v>
      </c>
      <c r="M314" s="55"/>
    </row>
    <row r="315" spans="1:13" x14ac:dyDescent="0.25">
      <c r="A315" s="39" t="s">
        <v>597</v>
      </c>
      <c r="B315" s="46" t="s">
        <v>271</v>
      </c>
      <c r="C315" s="39" t="s">
        <v>465</v>
      </c>
      <c r="D315" s="72">
        <v>676030562</v>
      </c>
      <c r="E315" s="73">
        <v>9198253211</v>
      </c>
      <c r="F315" s="39" t="s">
        <v>256</v>
      </c>
      <c r="G315" s="49">
        <v>36696</v>
      </c>
      <c r="H315" s="50" t="str">
        <f t="shared" si="8"/>
        <v>Jun</v>
      </c>
      <c r="I315" s="51">
        <f t="shared" ca="1" si="9"/>
        <v>16</v>
      </c>
      <c r="J315" s="52" t="s">
        <v>257</v>
      </c>
      <c r="K315" s="53">
        <v>72120</v>
      </c>
      <c r="L315" s="54">
        <v>1</v>
      </c>
      <c r="M315" s="55"/>
    </row>
    <row r="316" spans="1:13" x14ac:dyDescent="0.25">
      <c r="A316" s="39" t="s">
        <v>598</v>
      </c>
      <c r="B316" s="46" t="s">
        <v>271</v>
      </c>
      <c r="C316" s="39" t="s">
        <v>465</v>
      </c>
      <c r="D316" s="72">
        <v>505966230</v>
      </c>
      <c r="E316" s="73">
        <v>9198038161</v>
      </c>
      <c r="F316" s="39" t="s">
        <v>256</v>
      </c>
      <c r="G316" s="49">
        <v>34994</v>
      </c>
      <c r="H316" s="50" t="str">
        <f t="shared" si="8"/>
        <v>Oct</v>
      </c>
      <c r="I316" s="51">
        <f t="shared" ca="1" si="9"/>
        <v>21</v>
      </c>
      <c r="J316" s="52" t="s">
        <v>283</v>
      </c>
      <c r="K316" s="53">
        <v>54600</v>
      </c>
      <c r="L316" s="54">
        <v>3</v>
      </c>
      <c r="M316" s="55"/>
    </row>
    <row r="317" spans="1:13" x14ac:dyDescent="0.25">
      <c r="A317" s="39" t="s">
        <v>599</v>
      </c>
      <c r="B317" s="46" t="s">
        <v>271</v>
      </c>
      <c r="C317" s="39" t="s">
        <v>465</v>
      </c>
      <c r="D317" s="72">
        <v>962553692</v>
      </c>
      <c r="E317" s="73">
        <v>9196689962</v>
      </c>
      <c r="F317" s="39" t="s">
        <v>256</v>
      </c>
      <c r="G317" s="49">
        <v>36157</v>
      </c>
      <c r="H317" s="50" t="str">
        <f t="shared" si="8"/>
        <v>Dec</v>
      </c>
      <c r="I317" s="51">
        <f t="shared" ca="1" si="9"/>
        <v>17</v>
      </c>
      <c r="J317" s="52" t="s">
        <v>283</v>
      </c>
      <c r="K317" s="53">
        <v>103510</v>
      </c>
      <c r="L317" s="54">
        <v>3</v>
      </c>
      <c r="M317" s="55"/>
    </row>
    <row r="318" spans="1:13" x14ac:dyDescent="0.25">
      <c r="A318" s="39" t="s">
        <v>600</v>
      </c>
      <c r="B318" s="46" t="s">
        <v>271</v>
      </c>
      <c r="C318" s="39" t="s">
        <v>465</v>
      </c>
      <c r="D318" s="72">
        <v>468053610</v>
      </c>
      <c r="E318" s="73">
        <v>2525344270</v>
      </c>
      <c r="F318" s="39" t="s">
        <v>256</v>
      </c>
      <c r="G318" s="49">
        <v>38510</v>
      </c>
      <c r="H318" s="50" t="str">
        <f t="shared" si="8"/>
        <v>Jun</v>
      </c>
      <c r="I318" s="51">
        <f t="shared" ca="1" si="9"/>
        <v>11</v>
      </c>
      <c r="J318" s="52" t="s">
        <v>283</v>
      </c>
      <c r="K318" s="53">
        <v>82900</v>
      </c>
      <c r="L318" s="54">
        <v>3</v>
      </c>
      <c r="M318" s="55"/>
    </row>
    <row r="319" spans="1:13" x14ac:dyDescent="0.25">
      <c r="A319" s="39" t="s">
        <v>601</v>
      </c>
      <c r="B319" s="46" t="s">
        <v>271</v>
      </c>
      <c r="C319" s="39" t="s">
        <v>465</v>
      </c>
      <c r="D319" s="72">
        <v>470719383</v>
      </c>
      <c r="E319" s="73">
        <v>9197848542</v>
      </c>
      <c r="F319" s="39" t="s">
        <v>256</v>
      </c>
      <c r="G319" s="49">
        <v>37010</v>
      </c>
      <c r="H319" s="50" t="str">
        <f t="shared" si="8"/>
        <v>Apr</v>
      </c>
      <c r="I319" s="51">
        <f t="shared" ca="1" si="9"/>
        <v>15</v>
      </c>
      <c r="J319" s="52" t="s">
        <v>257</v>
      </c>
      <c r="K319" s="53">
        <v>90140</v>
      </c>
      <c r="L319" s="54">
        <v>5</v>
      </c>
      <c r="M319" s="55"/>
    </row>
    <row r="320" spans="1:13" x14ac:dyDescent="0.25">
      <c r="A320" s="39" t="s">
        <v>602</v>
      </c>
      <c r="B320" s="46" t="s">
        <v>271</v>
      </c>
      <c r="C320" s="39" t="s">
        <v>465</v>
      </c>
      <c r="D320" s="72">
        <v>213584397</v>
      </c>
      <c r="E320" s="73">
        <v>2524138160</v>
      </c>
      <c r="F320" s="39" t="s">
        <v>256</v>
      </c>
      <c r="G320" s="49">
        <v>38332</v>
      </c>
      <c r="H320" s="50" t="str">
        <f t="shared" si="8"/>
        <v>Dec</v>
      </c>
      <c r="I320" s="51">
        <f t="shared" ca="1" si="9"/>
        <v>11</v>
      </c>
      <c r="J320" s="52" t="s">
        <v>283</v>
      </c>
      <c r="K320" s="53">
        <v>75300</v>
      </c>
      <c r="L320" s="54">
        <v>3</v>
      </c>
      <c r="M320" s="55"/>
    </row>
    <row r="321" spans="1:14" x14ac:dyDescent="0.25">
      <c r="A321" s="39" t="s">
        <v>603</v>
      </c>
      <c r="B321" s="46" t="s">
        <v>285</v>
      </c>
      <c r="C321" s="39" t="s">
        <v>465</v>
      </c>
      <c r="D321" s="72">
        <v>475517002</v>
      </c>
      <c r="E321" s="73">
        <v>2523909820</v>
      </c>
      <c r="F321" s="39" t="s">
        <v>256</v>
      </c>
      <c r="G321" s="49">
        <v>37319</v>
      </c>
      <c r="H321" s="50" t="str">
        <f t="shared" si="8"/>
        <v>Mar</v>
      </c>
      <c r="I321" s="51">
        <f t="shared" ca="1" si="9"/>
        <v>14</v>
      </c>
      <c r="J321" s="52" t="s">
        <v>283</v>
      </c>
      <c r="K321" s="53">
        <v>82500</v>
      </c>
      <c r="L321" s="54">
        <v>1</v>
      </c>
      <c r="M321" s="55"/>
    </row>
    <row r="322" spans="1:14" x14ac:dyDescent="0.25">
      <c r="A322" s="39" t="s">
        <v>604</v>
      </c>
      <c r="B322" s="46" t="s">
        <v>285</v>
      </c>
      <c r="C322" s="39" t="s">
        <v>465</v>
      </c>
      <c r="D322" s="72">
        <v>682500261</v>
      </c>
      <c r="E322" s="73">
        <v>9191163627</v>
      </c>
      <c r="F322" s="39" t="s">
        <v>256</v>
      </c>
      <c r="G322" s="49">
        <v>35882</v>
      </c>
      <c r="H322" s="50" t="str">
        <f t="shared" ref="H322:H385" si="10">CHOOSE(MONTH(G322),"Jan","Feb","Mar","Apr","May","Jun","Jul","Aug","Sep","Oct","Nov","Dec")</f>
        <v>Mar</v>
      </c>
      <c r="I322" s="51">
        <f t="shared" ref="I322:I385" ca="1" si="11">DATEDIF(G322,TODAY(),"Y")</f>
        <v>18</v>
      </c>
      <c r="J322" s="52" t="s">
        <v>262</v>
      </c>
      <c r="K322" s="53">
        <v>75680</v>
      </c>
      <c r="L322" s="54">
        <v>1</v>
      </c>
      <c r="M322" s="55"/>
      <c r="N322" s="63"/>
    </row>
    <row r="323" spans="1:14" x14ac:dyDescent="0.25">
      <c r="A323" s="39" t="s">
        <v>605</v>
      </c>
      <c r="B323" s="46" t="s">
        <v>251</v>
      </c>
      <c r="C323" s="39" t="s">
        <v>465</v>
      </c>
      <c r="D323" s="72">
        <v>338977629</v>
      </c>
      <c r="E323" s="73">
        <v>2524252315</v>
      </c>
      <c r="F323" s="39" t="s">
        <v>256</v>
      </c>
      <c r="G323" s="49">
        <v>36802</v>
      </c>
      <c r="H323" s="50" t="str">
        <f t="shared" si="10"/>
        <v>Oct</v>
      </c>
      <c r="I323" s="51">
        <f t="shared" ca="1" si="11"/>
        <v>16</v>
      </c>
      <c r="J323" s="52" t="s">
        <v>257</v>
      </c>
      <c r="K323" s="53">
        <v>94280</v>
      </c>
      <c r="L323" s="54">
        <v>1</v>
      </c>
      <c r="M323" s="55"/>
    </row>
    <row r="324" spans="1:14" x14ac:dyDescent="0.25">
      <c r="A324" s="39" t="s">
        <v>606</v>
      </c>
      <c r="B324" s="46" t="s">
        <v>285</v>
      </c>
      <c r="C324" s="39" t="s">
        <v>465</v>
      </c>
      <c r="D324" s="72">
        <v>876777922</v>
      </c>
      <c r="E324" s="73">
        <v>2527358099</v>
      </c>
      <c r="F324" s="39" t="s">
        <v>247</v>
      </c>
      <c r="G324" s="49">
        <v>41450</v>
      </c>
      <c r="H324" s="50" t="str">
        <f t="shared" si="10"/>
        <v>Jun</v>
      </c>
      <c r="I324" s="51">
        <f t="shared" ca="1" si="11"/>
        <v>3</v>
      </c>
      <c r="J324" s="52"/>
      <c r="K324" s="53">
        <v>106610</v>
      </c>
      <c r="L324" s="54">
        <v>5</v>
      </c>
      <c r="M324" s="55"/>
    </row>
    <row r="325" spans="1:14" x14ac:dyDescent="0.25">
      <c r="A325" s="39" t="s">
        <v>607</v>
      </c>
      <c r="B325" s="46" t="s">
        <v>245</v>
      </c>
      <c r="C325" s="39" t="s">
        <v>465</v>
      </c>
      <c r="D325" s="72">
        <v>684054281</v>
      </c>
      <c r="E325" s="73">
        <v>2522888726</v>
      </c>
      <c r="F325" s="39" t="s">
        <v>256</v>
      </c>
      <c r="G325" s="49">
        <v>39147</v>
      </c>
      <c r="H325" s="50" t="str">
        <f t="shared" si="10"/>
        <v>Mar</v>
      </c>
      <c r="I325" s="51">
        <f t="shared" ca="1" si="11"/>
        <v>9</v>
      </c>
      <c r="J325" s="52" t="s">
        <v>257</v>
      </c>
      <c r="K325" s="53">
        <v>56810</v>
      </c>
      <c r="L325" s="54">
        <v>2</v>
      </c>
      <c r="M325" s="55"/>
    </row>
    <row r="326" spans="1:14" x14ac:dyDescent="0.25">
      <c r="A326" s="39" t="s">
        <v>608</v>
      </c>
      <c r="B326" s="46" t="s">
        <v>285</v>
      </c>
      <c r="C326" s="39" t="s">
        <v>465</v>
      </c>
      <c r="D326" s="72">
        <v>564908088</v>
      </c>
      <c r="E326" s="73">
        <v>9193386758</v>
      </c>
      <c r="F326" s="39" t="s">
        <v>256</v>
      </c>
      <c r="G326" s="49">
        <v>39378</v>
      </c>
      <c r="H326" s="50" t="str">
        <f t="shared" si="10"/>
        <v>Oct</v>
      </c>
      <c r="I326" s="51">
        <f t="shared" ca="1" si="11"/>
        <v>9</v>
      </c>
      <c r="J326" s="52" t="s">
        <v>257</v>
      </c>
      <c r="K326" s="53">
        <v>105310</v>
      </c>
      <c r="L326" s="54">
        <v>1</v>
      </c>
      <c r="M326" s="55"/>
    </row>
    <row r="327" spans="1:14" x14ac:dyDescent="0.25">
      <c r="A327" s="39" t="s">
        <v>609</v>
      </c>
      <c r="B327" s="46" t="s">
        <v>266</v>
      </c>
      <c r="C327" s="39" t="s">
        <v>465</v>
      </c>
      <c r="D327" s="72">
        <v>881975933</v>
      </c>
      <c r="E327" s="73">
        <v>9192354572</v>
      </c>
      <c r="F327" s="39" t="s">
        <v>256</v>
      </c>
      <c r="G327" s="49">
        <v>36831</v>
      </c>
      <c r="H327" s="50" t="str">
        <f t="shared" si="10"/>
        <v>Nov</v>
      </c>
      <c r="I327" s="51">
        <f t="shared" ca="1" si="11"/>
        <v>16</v>
      </c>
      <c r="J327" s="52" t="s">
        <v>267</v>
      </c>
      <c r="K327" s="53">
        <v>42550</v>
      </c>
      <c r="L327" s="54">
        <v>5</v>
      </c>
      <c r="M327" s="55"/>
    </row>
    <row r="328" spans="1:14" x14ac:dyDescent="0.25">
      <c r="A328" s="39" t="s">
        <v>610</v>
      </c>
      <c r="B328" s="46" t="s">
        <v>285</v>
      </c>
      <c r="C328" s="39" t="s">
        <v>465</v>
      </c>
      <c r="D328" s="72">
        <v>597131266</v>
      </c>
      <c r="E328" s="73">
        <v>9195043141</v>
      </c>
      <c r="F328" s="39" t="s">
        <v>256</v>
      </c>
      <c r="G328" s="49">
        <v>36704</v>
      </c>
      <c r="H328" s="50" t="str">
        <f t="shared" si="10"/>
        <v>Jun</v>
      </c>
      <c r="I328" s="51">
        <f t="shared" ca="1" si="11"/>
        <v>16</v>
      </c>
      <c r="J328" s="52" t="s">
        <v>262</v>
      </c>
      <c r="K328" s="53">
        <v>79720</v>
      </c>
      <c r="L328" s="54">
        <v>2</v>
      </c>
      <c r="M328" s="55"/>
    </row>
    <row r="329" spans="1:14" x14ac:dyDescent="0.25">
      <c r="A329" s="39" t="s">
        <v>611</v>
      </c>
      <c r="B329" s="46" t="s">
        <v>245</v>
      </c>
      <c r="C329" s="39" t="s">
        <v>465</v>
      </c>
      <c r="D329" s="72">
        <v>566726453</v>
      </c>
      <c r="E329" s="73">
        <v>9192168237</v>
      </c>
      <c r="F329" s="39" t="s">
        <v>256</v>
      </c>
      <c r="G329" s="49">
        <v>36021</v>
      </c>
      <c r="H329" s="50" t="str">
        <f t="shared" si="10"/>
        <v>Aug</v>
      </c>
      <c r="I329" s="51">
        <f t="shared" ca="1" si="11"/>
        <v>18</v>
      </c>
      <c r="J329" s="52" t="s">
        <v>262</v>
      </c>
      <c r="K329" s="53">
        <v>46730</v>
      </c>
      <c r="L329" s="54">
        <v>2</v>
      </c>
      <c r="M329" s="55"/>
    </row>
    <row r="330" spans="1:14" x14ac:dyDescent="0.25">
      <c r="A330" s="39" t="s">
        <v>612</v>
      </c>
      <c r="B330" s="46" t="s">
        <v>285</v>
      </c>
      <c r="C330" s="39" t="s">
        <v>465</v>
      </c>
      <c r="D330" s="72">
        <v>903618594</v>
      </c>
      <c r="E330" s="73">
        <v>9194733288</v>
      </c>
      <c r="F330" s="39" t="s">
        <v>256</v>
      </c>
      <c r="G330" s="49">
        <v>38867</v>
      </c>
      <c r="H330" s="50" t="str">
        <f t="shared" si="10"/>
        <v>May</v>
      </c>
      <c r="I330" s="51">
        <f t="shared" ca="1" si="11"/>
        <v>10</v>
      </c>
      <c r="J330" s="52" t="s">
        <v>262</v>
      </c>
      <c r="K330" s="53">
        <v>65080</v>
      </c>
      <c r="L330" s="54">
        <v>5</v>
      </c>
      <c r="M330" s="55"/>
    </row>
    <row r="331" spans="1:14" x14ac:dyDescent="0.25">
      <c r="A331" s="39" t="s">
        <v>613</v>
      </c>
      <c r="B331" s="46" t="s">
        <v>285</v>
      </c>
      <c r="C331" s="39" t="s">
        <v>465</v>
      </c>
      <c r="D331" s="72">
        <v>589649495</v>
      </c>
      <c r="E331" s="73">
        <v>2524248455</v>
      </c>
      <c r="F331" s="39" t="s">
        <v>256</v>
      </c>
      <c r="G331" s="49">
        <v>37708</v>
      </c>
      <c r="H331" s="50" t="str">
        <f t="shared" si="10"/>
        <v>Mar</v>
      </c>
      <c r="I331" s="51">
        <f t="shared" ca="1" si="11"/>
        <v>13</v>
      </c>
      <c r="J331" s="52" t="s">
        <v>276</v>
      </c>
      <c r="K331" s="53">
        <v>46640</v>
      </c>
      <c r="L331" s="54">
        <v>2</v>
      </c>
      <c r="M331" s="55"/>
    </row>
    <row r="332" spans="1:14" x14ac:dyDescent="0.25">
      <c r="A332" s="39" t="s">
        <v>614</v>
      </c>
      <c r="B332" s="46" t="s">
        <v>285</v>
      </c>
      <c r="C332" s="39" t="s">
        <v>465</v>
      </c>
      <c r="D332" s="72">
        <v>542653222</v>
      </c>
      <c r="E332" s="73">
        <v>9193708610</v>
      </c>
      <c r="F332" s="39" t="s">
        <v>247</v>
      </c>
      <c r="G332" s="49">
        <v>36998</v>
      </c>
      <c r="H332" s="50" t="str">
        <f t="shared" si="10"/>
        <v>Apr</v>
      </c>
      <c r="I332" s="51">
        <f t="shared" ca="1" si="11"/>
        <v>15</v>
      </c>
      <c r="J332" s="52"/>
      <c r="K332" s="53">
        <v>87020</v>
      </c>
      <c r="L332" s="54">
        <v>3</v>
      </c>
      <c r="M332" s="55"/>
    </row>
    <row r="333" spans="1:14" x14ac:dyDescent="0.25">
      <c r="A333" s="39" t="s">
        <v>615</v>
      </c>
      <c r="B333" s="46" t="s">
        <v>271</v>
      </c>
      <c r="C333" s="39" t="s">
        <v>465</v>
      </c>
      <c r="D333" s="72">
        <v>843064707</v>
      </c>
      <c r="E333" s="73">
        <v>9192687844</v>
      </c>
      <c r="F333" s="39" t="s">
        <v>247</v>
      </c>
      <c r="G333" s="49">
        <v>41681</v>
      </c>
      <c r="H333" s="50" t="str">
        <f t="shared" si="10"/>
        <v>Feb</v>
      </c>
      <c r="I333" s="51">
        <f t="shared" ca="1" si="11"/>
        <v>2</v>
      </c>
      <c r="J333" s="52"/>
      <c r="K333" s="53">
        <v>68530</v>
      </c>
      <c r="L333" s="54">
        <v>3</v>
      </c>
      <c r="M333" s="55"/>
    </row>
    <row r="334" spans="1:14" x14ac:dyDescent="0.25">
      <c r="A334" s="39" t="s">
        <v>616</v>
      </c>
      <c r="B334" s="46" t="s">
        <v>271</v>
      </c>
      <c r="C334" s="39" t="s">
        <v>465</v>
      </c>
      <c r="D334" s="72">
        <v>931105030</v>
      </c>
      <c r="E334" s="73">
        <v>9191397811</v>
      </c>
      <c r="F334" s="39" t="s">
        <v>256</v>
      </c>
      <c r="G334" s="49">
        <v>37274</v>
      </c>
      <c r="H334" s="50" t="str">
        <f t="shared" si="10"/>
        <v>Jan</v>
      </c>
      <c r="I334" s="51">
        <f t="shared" ca="1" si="11"/>
        <v>14</v>
      </c>
      <c r="J334" s="52" t="s">
        <v>283</v>
      </c>
      <c r="K334" s="53">
        <v>73600</v>
      </c>
      <c r="L334" s="54">
        <v>4</v>
      </c>
      <c r="M334" s="55"/>
    </row>
    <row r="335" spans="1:14" x14ac:dyDescent="0.25">
      <c r="A335" s="39" t="s">
        <v>617</v>
      </c>
      <c r="B335" s="46" t="s">
        <v>245</v>
      </c>
      <c r="C335" s="39" t="s">
        <v>618</v>
      </c>
      <c r="D335" s="72">
        <v>292006053</v>
      </c>
      <c r="E335" s="73">
        <v>9197045091</v>
      </c>
      <c r="F335" s="39" t="s">
        <v>247</v>
      </c>
      <c r="G335" s="49">
        <v>37766</v>
      </c>
      <c r="H335" s="50" t="str">
        <f t="shared" si="10"/>
        <v>May</v>
      </c>
      <c r="I335" s="51">
        <f t="shared" ca="1" si="11"/>
        <v>13</v>
      </c>
      <c r="J335" s="52"/>
      <c r="K335" s="53">
        <v>89400</v>
      </c>
      <c r="L335" s="54">
        <v>4</v>
      </c>
      <c r="M335" s="55"/>
    </row>
    <row r="336" spans="1:14" x14ac:dyDescent="0.25">
      <c r="A336" s="39" t="s">
        <v>619</v>
      </c>
      <c r="B336" s="46" t="s">
        <v>280</v>
      </c>
      <c r="C336" s="39" t="s">
        <v>618</v>
      </c>
      <c r="D336" s="72">
        <v>742946482</v>
      </c>
      <c r="E336" s="73">
        <v>9197077326</v>
      </c>
      <c r="F336" s="39" t="s">
        <v>256</v>
      </c>
      <c r="G336" s="49">
        <v>34833</v>
      </c>
      <c r="H336" s="50" t="str">
        <f t="shared" si="10"/>
        <v>May</v>
      </c>
      <c r="I336" s="51">
        <f t="shared" ca="1" si="11"/>
        <v>21</v>
      </c>
      <c r="J336" s="52" t="s">
        <v>257</v>
      </c>
      <c r="K336" s="53">
        <v>46990</v>
      </c>
      <c r="L336" s="54">
        <v>3</v>
      </c>
      <c r="M336" s="55"/>
    </row>
    <row r="337" spans="1:13" x14ac:dyDescent="0.25">
      <c r="A337" s="39" t="s">
        <v>620</v>
      </c>
      <c r="B337" s="46" t="s">
        <v>266</v>
      </c>
      <c r="C337" s="39" t="s">
        <v>618</v>
      </c>
      <c r="D337" s="72">
        <v>380343690</v>
      </c>
      <c r="E337" s="73">
        <v>2523906310</v>
      </c>
      <c r="F337" s="39" t="s">
        <v>247</v>
      </c>
      <c r="G337" s="49">
        <v>41293</v>
      </c>
      <c r="H337" s="50" t="str">
        <f t="shared" si="10"/>
        <v>Jan</v>
      </c>
      <c r="I337" s="51">
        <f t="shared" ca="1" si="11"/>
        <v>3</v>
      </c>
      <c r="J337" s="52"/>
      <c r="K337" s="53">
        <v>74270</v>
      </c>
      <c r="L337" s="54">
        <v>2</v>
      </c>
      <c r="M337" s="55"/>
    </row>
    <row r="338" spans="1:13" x14ac:dyDescent="0.25">
      <c r="A338" s="39" t="s">
        <v>621</v>
      </c>
      <c r="B338" s="46" t="s">
        <v>285</v>
      </c>
      <c r="C338" s="39" t="s">
        <v>618</v>
      </c>
      <c r="D338" s="72">
        <v>214234804</v>
      </c>
      <c r="E338" s="73">
        <v>2528908079</v>
      </c>
      <c r="F338" s="39" t="s">
        <v>256</v>
      </c>
      <c r="G338" s="49">
        <v>38937</v>
      </c>
      <c r="H338" s="50" t="str">
        <f t="shared" si="10"/>
        <v>Aug</v>
      </c>
      <c r="I338" s="51">
        <f t="shared" ca="1" si="11"/>
        <v>10</v>
      </c>
      <c r="J338" s="52" t="s">
        <v>283</v>
      </c>
      <c r="K338" s="53">
        <v>64640</v>
      </c>
      <c r="L338" s="54">
        <v>2</v>
      </c>
      <c r="M338" s="55"/>
    </row>
    <row r="339" spans="1:13" x14ac:dyDescent="0.25">
      <c r="A339" s="39" t="s">
        <v>622</v>
      </c>
      <c r="B339" s="46" t="s">
        <v>245</v>
      </c>
      <c r="C339" s="39" t="s">
        <v>618</v>
      </c>
      <c r="D339" s="72">
        <v>620072502</v>
      </c>
      <c r="E339" s="73">
        <v>9191264013</v>
      </c>
      <c r="F339" s="39" t="s">
        <v>256</v>
      </c>
      <c r="G339" s="49">
        <v>40039</v>
      </c>
      <c r="H339" s="50" t="str">
        <f t="shared" si="10"/>
        <v>Aug</v>
      </c>
      <c r="I339" s="51">
        <f t="shared" ca="1" si="11"/>
        <v>7</v>
      </c>
      <c r="J339" s="52" t="s">
        <v>276</v>
      </c>
      <c r="K339" s="53">
        <v>85680</v>
      </c>
      <c r="L339" s="54">
        <v>4</v>
      </c>
      <c r="M339" s="55"/>
    </row>
    <row r="340" spans="1:13" x14ac:dyDescent="0.25">
      <c r="A340" s="39" t="s">
        <v>623</v>
      </c>
      <c r="B340" s="46" t="s">
        <v>266</v>
      </c>
      <c r="C340" s="39" t="s">
        <v>618</v>
      </c>
      <c r="D340" s="72">
        <v>723930767</v>
      </c>
      <c r="E340" s="73">
        <v>9191375297</v>
      </c>
      <c r="F340" s="39" t="s">
        <v>256</v>
      </c>
      <c r="G340" s="49">
        <v>41314</v>
      </c>
      <c r="H340" s="50" t="str">
        <f t="shared" si="10"/>
        <v>Feb</v>
      </c>
      <c r="I340" s="51">
        <f t="shared" ca="1" si="11"/>
        <v>3</v>
      </c>
      <c r="J340" s="52" t="s">
        <v>283</v>
      </c>
      <c r="K340" s="53">
        <v>32700</v>
      </c>
      <c r="L340" s="54">
        <v>5</v>
      </c>
      <c r="M340" s="55"/>
    </row>
    <row r="341" spans="1:13" x14ac:dyDescent="0.25">
      <c r="A341" s="39" t="s">
        <v>624</v>
      </c>
      <c r="B341" s="46" t="s">
        <v>251</v>
      </c>
      <c r="C341" s="39" t="s">
        <v>618</v>
      </c>
      <c r="D341" s="72">
        <v>370608224</v>
      </c>
      <c r="E341" s="73">
        <v>2521535362</v>
      </c>
      <c r="F341" s="39" t="s">
        <v>256</v>
      </c>
      <c r="G341" s="49">
        <v>38408</v>
      </c>
      <c r="H341" s="50" t="str">
        <f t="shared" si="10"/>
        <v>Feb</v>
      </c>
      <c r="I341" s="51">
        <f t="shared" ca="1" si="11"/>
        <v>11</v>
      </c>
      <c r="J341" s="52" t="s">
        <v>257</v>
      </c>
      <c r="K341" s="53">
        <v>70970</v>
      </c>
      <c r="L341" s="54">
        <v>5</v>
      </c>
      <c r="M341" s="55"/>
    </row>
    <row r="342" spans="1:13" x14ac:dyDescent="0.25">
      <c r="A342" s="39" t="s">
        <v>625</v>
      </c>
      <c r="B342" s="46" t="s">
        <v>285</v>
      </c>
      <c r="C342" s="39" t="s">
        <v>626</v>
      </c>
      <c r="D342" s="72">
        <v>567266382</v>
      </c>
      <c r="E342" s="73">
        <v>2521683770</v>
      </c>
      <c r="F342" s="39" t="s">
        <v>256</v>
      </c>
      <c r="G342" s="49">
        <v>37117</v>
      </c>
      <c r="H342" s="50" t="str">
        <f t="shared" si="10"/>
        <v>Aug</v>
      </c>
      <c r="I342" s="51">
        <f t="shared" ca="1" si="11"/>
        <v>15</v>
      </c>
      <c r="J342" s="52" t="s">
        <v>276</v>
      </c>
      <c r="K342" s="53">
        <v>59720</v>
      </c>
      <c r="L342" s="54">
        <v>1</v>
      </c>
      <c r="M342" s="55"/>
    </row>
    <row r="343" spans="1:13" x14ac:dyDescent="0.25">
      <c r="A343" s="39" t="s">
        <v>627</v>
      </c>
      <c r="B343" s="46" t="s">
        <v>285</v>
      </c>
      <c r="C343" s="39" t="s">
        <v>626</v>
      </c>
      <c r="D343" s="72">
        <v>364404060</v>
      </c>
      <c r="E343" s="73">
        <v>2527722509</v>
      </c>
      <c r="F343" s="39" t="s">
        <v>261</v>
      </c>
      <c r="G343" s="49">
        <v>39363</v>
      </c>
      <c r="H343" s="50" t="str">
        <f t="shared" si="10"/>
        <v>Oct</v>
      </c>
      <c r="I343" s="51">
        <f t="shared" ca="1" si="11"/>
        <v>9</v>
      </c>
      <c r="J343" s="52" t="s">
        <v>257</v>
      </c>
      <c r="K343" s="53">
        <v>37510</v>
      </c>
      <c r="L343" s="54">
        <v>5</v>
      </c>
      <c r="M343" s="55"/>
    </row>
    <row r="344" spans="1:13" x14ac:dyDescent="0.25">
      <c r="A344" s="39" t="s">
        <v>628</v>
      </c>
      <c r="B344" s="46" t="s">
        <v>251</v>
      </c>
      <c r="C344" s="39" t="s">
        <v>626</v>
      </c>
      <c r="D344" s="72">
        <v>634954970</v>
      </c>
      <c r="E344" s="73">
        <v>9194900864</v>
      </c>
      <c r="F344" s="39" t="s">
        <v>256</v>
      </c>
      <c r="G344" s="49">
        <v>36283</v>
      </c>
      <c r="H344" s="50" t="str">
        <f t="shared" si="10"/>
        <v>May</v>
      </c>
      <c r="I344" s="51">
        <f t="shared" ca="1" si="11"/>
        <v>17</v>
      </c>
      <c r="J344" s="52" t="s">
        <v>257</v>
      </c>
      <c r="K344" s="53">
        <v>69070</v>
      </c>
      <c r="L344" s="54">
        <v>4</v>
      </c>
      <c r="M344" s="55"/>
    </row>
    <row r="345" spans="1:13" x14ac:dyDescent="0.25">
      <c r="A345" s="39" t="s">
        <v>629</v>
      </c>
      <c r="B345" s="46" t="s">
        <v>245</v>
      </c>
      <c r="C345" s="39" t="s">
        <v>626</v>
      </c>
      <c r="D345" s="72">
        <v>980960186</v>
      </c>
      <c r="E345" s="73">
        <v>9191517218</v>
      </c>
      <c r="F345" s="39" t="s">
        <v>261</v>
      </c>
      <c r="G345" s="49">
        <v>40099</v>
      </c>
      <c r="H345" s="50" t="str">
        <f t="shared" si="10"/>
        <v>Oct</v>
      </c>
      <c r="I345" s="51">
        <f t="shared" ca="1" si="11"/>
        <v>7</v>
      </c>
      <c r="J345" s="52" t="s">
        <v>283</v>
      </c>
      <c r="K345" s="53">
        <v>57250</v>
      </c>
      <c r="L345" s="54">
        <v>5</v>
      </c>
      <c r="M345" s="55"/>
    </row>
    <row r="346" spans="1:13" x14ac:dyDescent="0.25">
      <c r="A346" s="39" t="s">
        <v>630</v>
      </c>
      <c r="B346" s="46" t="s">
        <v>285</v>
      </c>
      <c r="C346" s="39" t="s">
        <v>626</v>
      </c>
      <c r="D346" s="72">
        <v>424800509</v>
      </c>
      <c r="E346" s="73">
        <v>2523986051</v>
      </c>
      <c r="F346" s="39" t="s">
        <v>256</v>
      </c>
      <c r="G346" s="49">
        <v>37464</v>
      </c>
      <c r="H346" s="50" t="str">
        <f t="shared" si="10"/>
        <v>Jul</v>
      </c>
      <c r="I346" s="51">
        <f t="shared" ca="1" si="11"/>
        <v>14</v>
      </c>
      <c r="J346" s="52" t="s">
        <v>257</v>
      </c>
      <c r="K346" s="53">
        <v>53060</v>
      </c>
      <c r="L346" s="54">
        <v>3</v>
      </c>
      <c r="M346" s="55"/>
    </row>
    <row r="347" spans="1:13" x14ac:dyDescent="0.25">
      <c r="A347" s="39" t="s">
        <v>631</v>
      </c>
      <c r="B347" s="46" t="s">
        <v>251</v>
      </c>
      <c r="C347" s="39" t="s">
        <v>626</v>
      </c>
      <c r="D347" s="72">
        <v>159415552</v>
      </c>
      <c r="E347" s="73">
        <v>9194221208</v>
      </c>
      <c r="F347" s="39" t="s">
        <v>256</v>
      </c>
      <c r="G347" s="49">
        <v>34766</v>
      </c>
      <c r="H347" s="50" t="str">
        <f t="shared" si="10"/>
        <v>Mar</v>
      </c>
      <c r="I347" s="51">
        <f t="shared" ca="1" si="11"/>
        <v>21</v>
      </c>
      <c r="J347" s="52" t="s">
        <v>262</v>
      </c>
      <c r="K347" s="53">
        <v>88720</v>
      </c>
      <c r="L347" s="54">
        <v>1</v>
      </c>
      <c r="M347" s="55"/>
    </row>
    <row r="348" spans="1:13" x14ac:dyDescent="0.25">
      <c r="A348" s="39" t="s">
        <v>632</v>
      </c>
      <c r="B348" s="46" t="s">
        <v>280</v>
      </c>
      <c r="C348" s="39" t="s">
        <v>626</v>
      </c>
      <c r="D348" s="72">
        <v>991764142</v>
      </c>
      <c r="E348" s="73">
        <v>9192490678</v>
      </c>
      <c r="F348" s="39" t="s">
        <v>247</v>
      </c>
      <c r="G348" s="49">
        <v>35948</v>
      </c>
      <c r="H348" s="50" t="str">
        <f t="shared" si="10"/>
        <v>Jun</v>
      </c>
      <c r="I348" s="51">
        <f t="shared" ca="1" si="11"/>
        <v>18</v>
      </c>
      <c r="J348" s="52"/>
      <c r="K348" s="53">
        <v>98320</v>
      </c>
      <c r="L348" s="54">
        <v>5</v>
      </c>
      <c r="M348" s="55"/>
    </row>
    <row r="349" spans="1:13" x14ac:dyDescent="0.25">
      <c r="A349" s="39" t="s">
        <v>633</v>
      </c>
      <c r="B349" s="46" t="s">
        <v>271</v>
      </c>
      <c r="C349" s="39" t="s">
        <v>626</v>
      </c>
      <c r="D349" s="72">
        <v>796685092</v>
      </c>
      <c r="E349" s="73">
        <v>2527469217</v>
      </c>
      <c r="F349" s="39" t="s">
        <v>256</v>
      </c>
      <c r="G349" s="49">
        <v>37457</v>
      </c>
      <c r="H349" s="50" t="str">
        <f t="shared" si="10"/>
        <v>Jul</v>
      </c>
      <c r="I349" s="51">
        <f t="shared" ca="1" si="11"/>
        <v>14</v>
      </c>
      <c r="J349" s="52" t="s">
        <v>283</v>
      </c>
      <c r="K349" s="53">
        <v>52150</v>
      </c>
      <c r="L349" s="54">
        <v>5</v>
      </c>
      <c r="M349" s="55"/>
    </row>
    <row r="350" spans="1:13" x14ac:dyDescent="0.25">
      <c r="A350" s="39" t="s">
        <v>634</v>
      </c>
      <c r="B350" s="46" t="s">
        <v>245</v>
      </c>
      <c r="C350" s="39" t="s">
        <v>626</v>
      </c>
      <c r="D350" s="72">
        <v>422929693</v>
      </c>
      <c r="E350" s="73">
        <v>9191487375</v>
      </c>
      <c r="F350" s="39" t="s">
        <v>256</v>
      </c>
      <c r="G350" s="49">
        <v>37663</v>
      </c>
      <c r="H350" s="50" t="str">
        <f t="shared" si="10"/>
        <v>Feb</v>
      </c>
      <c r="I350" s="51">
        <f t="shared" ca="1" si="11"/>
        <v>13</v>
      </c>
      <c r="J350" s="52" t="s">
        <v>283</v>
      </c>
      <c r="K350" s="53">
        <v>62990</v>
      </c>
      <c r="L350" s="54">
        <v>4</v>
      </c>
      <c r="M350" s="55"/>
    </row>
    <row r="351" spans="1:13" x14ac:dyDescent="0.25">
      <c r="A351" s="39" t="s">
        <v>635</v>
      </c>
      <c r="B351" s="46" t="s">
        <v>271</v>
      </c>
      <c r="C351" s="39" t="s">
        <v>626</v>
      </c>
      <c r="D351" s="72">
        <v>597641409</v>
      </c>
      <c r="E351" s="73">
        <v>9196201509</v>
      </c>
      <c r="F351" s="39" t="s">
        <v>256</v>
      </c>
      <c r="G351" s="49">
        <v>36858</v>
      </c>
      <c r="H351" s="50" t="str">
        <f t="shared" si="10"/>
        <v>Nov</v>
      </c>
      <c r="I351" s="51">
        <f t="shared" ca="1" si="11"/>
        <v>15</v>
      </c>
      <c r="J351" s="52" t="s">
        <v>283</v>
      </c>
      <c r="K351" s="53">
        <v>98530</v>
      </c>
      <c r="L351" s="54">
        <v>3</v>
      </c>
      <c r="M351" s="55"/>
    </row>
    <row r="352" spans="1:13" x14ac:dyDescent="0.25">
      <c r="A352" s="39" t="s">
        <v>636</v>
      </c>
      <c r="B352" s="46" t="s">
        <v>271</v>
      </c>
      <c r="C352" s="39" t="s">
        <v>626</v>
      </c>
      <c r="D352" s="72">
        <v>247406371</v>
      </c>
      <c r="E352" s="73">
        <v>9195299873</v>
      </c>
      <c r="F352" s="39" t="s">
        <v>261</v>
      </c>
      <c r="G352" s="49">
        <v>41352</v>
      </c>
      <c r="H352" s="50" t="str">
        <f t="shared" si="10"/>
        <v>Mar</v>
      </c>
      <c r="I352" s="51">
        <f t="shared" ca="1" si="11"/>
        <v>3</v>
      </c>
      <c r="J352" s="52" t="s">
        <v>283</v>
      </c>
      <c r="K352" s="53">
        <v>24050</v>
      </c>
      <c r="L352" s="54">
        <v>3</v>
      </c>
      <c r="M352" s="55"/>
    </row>
    <row r="353" spans="1:13" x14ac:dyDescent="0.25">
      <c r="A353" s="39" t="s">
        <v>637</v>
      </c>
      <c r="B353" s="46" t="s">
        <v>285</v>
      </c>
      <c r="C353" s="39" t="s">
        <v>626</v>
      </c>
      <c r="D353" s="72">
        <v>385074661</v>
      </c>
      <c r="E353" s="73">
        <v>2527451745</v>
      </c>
      <c r="F353" s="39" t="s">
        <v>256</v>
      </c>
      <c r="G353" s="49">
        <v>35876</v>
      </c>
      <c r="H353" s="50" t="str">
        <f t="shared" si="10"/>
        <v>Mar</v>
      </c>
      <c r="I353" s="51">
        <f t="shared" ca="1" si="11"/>
        <v>18</v>
      </c>
      <c r="J353" s="52" t="s">
        <v>276</v>
      </c>
      <c r="K353" s="53">
        <v>80300</v>
      </c>
      <c r="L353" s="54">
        <v>2</v>
      </c>
      <c r="M353" s="55"/>
    </row>
    <row r="354" spans="1:13" x14ac:dyDescent="0.25">
      <c r="A354" s="39" t="s">
        <v>638</v>
      </c>
      <c r="B354" s="46" t="s">
        <v>285</v>
      </c>
      <c r="C354" s="39" t="s">
        <v>626</v>
      </c>
      <c r="D354" s="72">
        <v>254201611</v>
      </c>
      <c r="E354" s="73">
        <v>9197803578</v>
      </c>
      <c r="F354" s="39" t="s">
        <v>256</v>
      </c>
      <c r="G354" s="49">
        <v>35035</v>
      </c>
      <c r="H354" s="50" t="str">
        <f t="shared" si="10"/>
        <v>Dec</v>
      </c>
      <c r="I354" s="51">
        <f t="shared" ca="1" si="11"/>
        <v>20</v>
      </c>
      <c r="J354" s="52" t="s">
        <v>267</v>
      </c>
      <c r="K354" s="53">
        <v>54220</v>
      </c>
      <c r="L354" s="54">
        <v>5</v>
      </c>
      <c r="M354" s="55"/>
    </row>
    <row r="355" spans="1:13" x14ac:dyDescent="0.25">
      <c r="A355" s="39" t="s">
        <v>639</v>
      </c>
      <c r="B355" s="46" t="s">
        <v>271</v>
      </c>
      <c r="C355" s="39" t="s">
        <v>626</v>
      </c>
      <c r="D355" s="72">
        <v>168791562</v>
      </c>
      <c r="E355" s="73">
        <v>9194161772</v>
      </c>
      <c r="F355" s="39" t="s">
        <v>256</v>
      </c>
      <c r="G355" s="49">
        <v>41362</v>
      </c>
      <c r="H355" s="50" t="str">
        <f t="shared" si="10"/>
        <v>Mar</v>
      </c>
      <c r="I355" s="51">
        <f t="shared" ca="1" si="11"/>
        <v>3</v>
      </c>
      <c r="J355" s="52" t="s">
        <v>267</v>
      </c>
      <c r="K355" s="53">
        <v>90940</v>
      </c>
      <c r="L355" s="54">
        <v>2</v>
      </c>
      <c r="M355" s="55"/>
    </row>
    <row r="356" spans="1:13" x14ac:dyDescent="0.25">
      <c r="A356" s="39" t="s">
        <v>640</v>
      </c>
      <c r="B356" s="46" t="s">
        <v>271</v>
      </c>
      <c r="C356" s="39" t="s">
        <v>626</v>
      </c>
      <c r="D356" s="72">
        <v>999156829</v>
      </c>
      <c r="E356" s="73">
        <v>2521401774</v>
      </c>
      <c r="F356" s="39" t="s">
        <v>256</v>
      </c>
      <c r="G356" s="49">
        <v>41448</v>
      </c>
      <c r="H356" s="50" t="str">
        <f t="shared" si="10"/>
        <v>Jun</v>
      </c>
      <c r="I356" s="51">
        <f t="shared" ca="1" si="11"/>
        <v>3</v>
      </c>
      <c r="J356" s="52" t="s">
        <v>257</v>
      </c>
      <c r="K356" s="53">
        <v>40760</v>
      </c>
      <c r="L356" s="54">
        <v>4</v>
      </c>
      <c r="M356" s="55"/>
    </row>
    <row r="357" spans="1:13" x14ac:dyDescent="0.25">
      <c r="A357" s="39" t="s">
        <v>641</v>
      </c>
      <c r="B357" s="46" t="s">
        <v>251</v>
      </c>
      <c r="C357" s="39" t="s">
        <v>626</v>
      </c>
      <c r="D357" s="72">
        <v>154984918</v>
      </c>
      <c r="E357" s="73">
        <v>2521575684</v>
      </c>
      <c r="F357" s="39" t="s">
        <v>256</v>
      </c>
      <c r="G357" s="49">
        <v>34408</v>
      </c>
      <c r="H357" s="50" t="str">
        <f t="shared" si="10"/>
        <v>Mar</v>
      </c>
      <c r="I357" s="51">
        <f t="shared" ca="1" si="11"/>
        <v>22</v>
      </c>
      <c r="J357" s="52" t="s">
        <v>257</v>
      </c>
      <c r="K357" s="53">
        <v>27480</v>
      </c>
      <c r="L357" s="54">
        <v>1</v>
      </c>
      <c r="M357" s="55"/>
    </row>
    <row r="358" spans="1:13" x14ac:dyDescent="0.25">
      <c r="A358" s="39" t="s">
        <v>642</v>
      </c>
      <c r="B358" s="46" t="s">
        <v>285</v>
      </c>
      <c r="C358" s="39" t="s">
        <v>626</v>
      </c>
      <c r="D358" s="72">
        <v>275102740</v>
      </c>
      <c r="E358" s="73">
        <v>2521620909</v>
      </c>
      <c r="F358" s="39" t="s">
        <v>256</v>
      </c>
      <c r="G358" s="49">
        <v>34696</v>
      </c>
      <c r="H358" s="50" t="str">
        <f t="shared" si="10"/>
        <v>Dec</v>
      </c>
      <c r="I358" s="51">
        <f t="shared" ca="1" si="11"/>
        <v>21</v>
      </c>
      <c r="J358" s="52" t="s">
        <v>262</v>
      </c>
      <c r="K358" s="53">
        <v>72670</v>
      </c>
      <c r="L358" s="54">
        <v>4</v>
      </c>
      <c r="M358" s="55"/>
    </row>
    <row r="359" spans="1:13" x14ac:dyDescent="0.25">
      <c r="A359" s="39" t="s">
        <v>643</v>
      </c>
      <c r="B359" s="46" t="s">
        <v>271</v>
      </c>
      <c r="C359" s="39" t="s">
        <v>626</v>
      </c>
      <c r="D359" s="72">
        <v>555025137</v>
      </c>
      <c r="E359" s="73">
        <v>2526565171</v>
      </c>
      <c r="F359" s="39" t="s">
        <v>261</v>
      </c>
      <c r="G359" s="49">
        <v>34320</v>
      </c>
      <c r="H359" s="50" t="str">
        <f t="shared" si="10"/>
        <v>Dec</v>
      </c>
      <c r="I359" s="51">
        <f t="shared" ca="1" si="11"/>
        <v>22</v>
      </c>
      <c r="J359" s="52" t="s">
        <v>267</v>
      </c>
      <c r="K359" s="53">
        <v>15710</v>
      </c>
      <c r="L359" s="54">
        <v>4</v>
      </c>
      <c r="M359" s="55"/>
    </row>
    <row r="360" spans="1:13" x14ac:dyDescent="0.25">
      <c r="A360" s="39" t="s">
        <v>644</v>
      </c>
      <c r="B360" s="46" t="s">
        <v>271</v>
      </c>
      <c r="C360" s="39" t="s">
        <v>626</v>
      </c>
      <c r="D360" s="72">
        <v>649234799</v>
      </c>
      <c r="E360" s="73">
        <v>2521588597</v>
      </c>
      <c r="F360" s="39" t="s">
        <v>256</v>
      </c>
      <c r="G360" s="49">
        <v>41210</v>
      </c>
      <c r="H360" s="50" t="str">
        <f t="shared" si="10"/>
        <v>Oct</v>
      </c>
      <c r="I360" s="51">
        <f t="shared" ca="1" si="11"/>
        <v>4</v>
      </c>
      <c r="J360" s="52" t="s">
        <v>283</v>
      </c>
      <c r="K360" s="53">
        <v>54310</v>
      </c>
      <c r="L360" s="54">
        <v>4</v>
      </c>
      <c r="M360" s="55"/>
    </row>
    <row r="361" spans="1:13" x14ac:dyDescent="0.25">
      <c r="A361" s="39" t="s">
        <v>645</v>
      </c>
      <c r="B361" s="46" t="s">
        <v>245</v>
      </c>
      <c r="C361" s="39" t="s">
        <v>626</v>
      </c>
      <c r="D361" s="72">
        <v>895408697</v>
      </c>
      <c r="E361" s="73">
        <v>2523383207</v>
      </c>
      <c r="F361" s="39" t="s">
        <v>256</v>
      </c>
      <c r="G361" s="49">
        <v>40158</v>
      </c>
      <c r="H361" s="50" t="str">
        <f t="shared" si="10"/>
        <v>Dec</v>
      </c>
      <c r="I361" s="51">
        <f t="shared" ca="1" si="11"/>
        <v>6</v>
      </c>
      <c r="J361" s="52" t="s">
        <v>283</v>
      </c>
      <c r="K361" s="53">
        <v>57130</v>
      </c>
      <c r="L361" s="54">
        <v>4</v>
      </c>
      <c r="M361" s="55"/>
    </row>
    <row r="362" spans="1:13" x14ac:dyDescent="0.25">
      <c r="A362" s="39" t="s">
        <v>646</v>
      </c>
      <c r="B362" s="46" t="s">
        <v>245</v>
      </c>
      <c r="C362" s="39" t="s">
        <v>626</v>
      </c>
      <c r="D362" s="72">
        <v>343897392</v>
      </c>
      <c r="E362" s="73">
        <v>2526674988</v>
      </c>
      <c r="F362" s="39" t="s">
        <v>256</v>
      </c>
      <c r="G362" s="49">
        <v>36255</v>
      </c>
      <c r="H362" s="50" t="str">
        <f t="shared" si="10"/>
        <v>Apr</v>
      </c>
      <c r="I362" s="51">
        <f t="shared" ca="1" si="11"/>
        <v>17</v>
      </c>
      <c r="J362" s="52" t="s">
        <v>257</v>
      </c>
      <c r="K362" s="53">
        <v>58560</v>
      </c>
      <c r="L362" s="54">
        <v>4</v>
      </c>
      <c r="M362" s="55"/>
    </row>
    <row r="363" spans="1:13" x14ac:dyDescent="0.25">
      <c r="A363" s="39" t="s">
        <v>647</v>
      </c>
      <c r="B363" s="46" t="s">
        <v>245</v>
      </c>
      <c r="C363" s="39" t="s">
        <v>626</v>
      </c>
      <c r="D363" s="72">
        <v>499124019</v>
      </c>
      <c r="E363" s="73">
        <v>9195978858</v>
      </c>
      <c r="F363" s="39" t="s">
        <v>261</v>
      </c>
      <c r="G363" s="49">
        <v>37122</v>
      </c>
      <c r="H363" s="50" t="str">
        <f t="shared" si="10"/>
        <v>Aug</v>
      </c>
      <c r="I363" s="51">
        <f t="shared" ca="1" si="11"/>
        <v>15</v>
      </c>
      <c r="J363" s="52" t="s">
        <v>283</v>
      </c>
      <c r="K363" s="53">
        <v>34660</v>
      </c>
      <c r="L363" s="54">
        <v>3</v>
      </c>
      <c r="M363" s="55"/>
    </row>
    <row r="364" spans="1:13" x14ac:dyDescent="0.25">
      <c r="A364" s="39" t="s">
        <v>648</v>
      </c>
      <c r="B364" s="46" t="s">
        <v>266</v>
      </c>
      <c r="C364" s="39" t="s">
        <v>626</v>
      </c>
      <c r="D364" s="72">
        <v>506165137</v>
      </c>
      <c r="E364" s="73">
        <v>9193613417</v>
      </c>
      <c r="F364" s="39" t="s">
        <v>256</v>
      </c>
      <c r="G364" s="49">
        <v>41084</v>
      </c>
      <c r="H364" s="50" t="str">
        <f t="shared" si="10"/>
        <v>Jun</v>
      </c>
      <c r="I364" s="51">
        <f t="shared" ca="1" si="11"/>
        <v>4</v>
      </c>
      <c r="J364" s="52" t="s">
        <v>283</v>
      </c>
      <c r="K364" s="53">
        <v>52980</v>
      </c>
      <c r="L364" s="54">
        <v>4</v>
      </c>
      <c r="M364" s="55"/>
    </row>
    <row r="365" spans="1:13" x14ac:dyDescent="0.25">
      <c r="A365" s="39" t="s">
        <v>649</v>
      </c>
      <c r="B365" s="46" t="s">
        <v>245</v>
      </c>
      <c r="C365" s="39" t="s">
        <v>626</v>
      </c>
      <c r="D365" s="72">
        <v>372693786</v>
      </c>
      <c r="E365" s="73">
        <v>9198211050</v>
      </c>
      <c r="F365" s="39" t="s">
        <v>261</v>
      </c>
      <c r="G365" s="49">
        <v>38139</v>
      </c>
      <c r="H365" s="50" t="str">
        <f t="shared" si="10"/>
        <v>Jun</v>
      </c>
      <c r="I365" s="51">
        <f t="shared" ca="1" si="11"/>
        <v>12</v>
      </c>
      <c r="J365" s="52" t="s">
        <v>262</v>
      </c>
      <c r="K365" s="53">
        <v>37330</v>
      </c>
      <c r="L365" s="54">
        <v>1</v>
      </c>
      <c r="M365" s="55"/>
    </row>
    <row r="366" spans="1:13" x14ac:dyDescent="0.25">
      <c r="A366" s="39" t="s">
        <v>650</v>
      </c>
      <c r="B366" s="46" t="s">
        <v>251</v>
      </c>
      <c r="C366" s="39" t="s">
        <v>626</v>
      </c>
      <c r="D366" s="72">
        <v>662974752</v>
      </c>
      <c r="E366" s="73">
        <v>2526040465</v>
      </c>
      <c r="F366" s="39" t="s">
        <v>256</v>
      </c>
      <c r="G366" s="49">
        <v>37393</v>
      </c>
      <c r="H366" s="50" t="str">
        <f t="shared" si="10"/>
        <v>May</v>
      </c>
      <c r="I366" s="51">
        <f t="shared" ca="1" si="11"/>
        <v>14</v>
      </c>
      <c r="J366" s="52" t="s">
        <v>283</v>
      </c>
      <c r="K366" s="53">
        <v>61690</v>
      </c>
      <c r="L366" s="54">
        <v>4</v>
      </c>
      <c r="M366" s="55"/>
    </row>
    <row r="367" spans="1:13" x14ac:dyDescent="0.25">
      <c r="A367" s="39" t="s">
        <v>651</v>
      </c>
      <c r="B367" s="46" t="s">
        <v>285</v>
      </c>
      <c r="C367" s="39" t="s">
        <v>626</v>
      </c>
      <c r="D367" s="72">
        <v>751878224</v>
      </c>
      <c r="E367" s="73">
        <v>9194713628</v>
      </c>
      <c r="F367" s="39" t="s">
        <v>256</v>
      </c>
      <c r="G367" s="49">
        <v>34607</v>
      </c>
      <c r="H367" s="50" t="str">
        <f t="shared" si="10"/>
        <v>Sep</v>
      </c>
      <c r="I367" s="51">
        <f t="shared" ca="1" si="11"/>
        <v>22</v>
      </c>
      <c r="J367" s="52" t="s">
        <v>262</v>
      </c>
      <c r="K367" s="53">
        <v>104540</v>
      </c>
      <c r="L367" s="54">
        <v>3</v>
      </c>
      <c r="M367" s="55"/>
    </row>
    <row r="368" spans="1:13" x14ac:dyDescent="0.25">
      <c r="A368" s="39" t="s">
        <v>652</v>
      </c>
      <c r="B368" s="46" t="s">
        <v>266</v>
      </c>
      <c r="C368" s="39" t="s">
        <v>626</v>
      </c>
      <c r="D368" s="72">
        <v>466400098</v>
      </c>
      <c r="E368" s="73">
        <v>2524652136</v>
      </c>
      <c r="F368" s="39" t="s">
        <v>247</v>
      </c>
      <c r="G368" s="49">
        <v>35055</v>
      </c>
      <c r="H368" s="50" t="str">
        <f t="shared" si="10"/>
        <v>Dec</v>
      </c>
      <c r="I368" s="51">
        <f t="shared" ca="1" si="11"/>
        <v>20</v>
      </c>
      <c r="J368" s="52"/>
      <c r="K368" s="53">
        <v>34800</v>
      </c>
      <c r="L368" s="54">
        <v>5</v>
      </c>
      <c r="M368" s="55"/>
    </row>
    <row r="369" spans="1:13" x14ac:dyDescent="0.25">
      <c r="A369" s="39" t="s">
        <v>653</v>
      </c>
      <c r="B369" s="46" t="s">
        <v>245</v>
      </c>
      <c r="C369" s="39" t="s">
        <v>626</v>
      </c>
      <c r="D369" s="72">
        <v>132016163</v>
      </c>
      <c r="E369" s="73">
        <v>2527726916</v>
      </c>
      <c r="F369" s="39" t="s">
        <v>261</v>
      </c>
      <c r="G369" s="49">
        <v>40872</v>
      </c>
      <c r="H369" s="50" t="str">
        <f t="shared" si="10"/>
        <v>Nov</v>
      </c>
      <c r="I369" s="51">
        <f t="shared" ca="1" si="11"/>
        <v>4</v>
      </c>
      <c r="J369" s="52" t="s">
        <v>267</v>
      </c>
      <c r="K369" s="53">
        <v>46290</v>
      </c>
      <c r="L369" s="54">
        <v>2</v>
      </c>
      <c r="M369" s="55"/>
    </row>
    <row r="370" spans="1:13" x14ac:dyDescent="0.25">
      <c r="A370" s="39" t="s">
        <v>654</v>
      </c>
      <c r="B370" s="46" t="s">
        <v>285</v>
      </c>
      <c r="C370" s="39" t="s">
        <v>626</v>
      </c>
      <c r="D370" s="72">
        <v>643272576</v>
      </c>
      <c r="E370" s="73">
        <v>2522256131</v>
      </c>
      <c r="F370" s="39" t="s">
        <v>252</v>
      </c>
      <c r="G370" s="49">
        <v>34306</v>
      </c>
      <c r="H370" s="50" t="str">
        <f t="shared" si="10"/>
        <v>Dec</v>
      </c>
      <c r="I370" s="51">
        <f t="shared" ca="1" si="11"/>
        <v>22</v>
      </c>
      <c r="J370" s="52"/>
      <c r="K370" s="53">
        <v>44210</v>
      </c>
      <c r="L370" s="54">
        <v>4</v>
      </c>
      <c r="M370" s="55"/>
    </row>
    <row r="371" spans="1:13" x14ac:dyDescent="0.25">
      <c r="A371" s="39" t="s">
        <v>655</v>
      </c>
      <c r="B371" s="46" t="s">
        <v>266</v>
      </c>
      <c r="C371" s="39" t="s">
        <v>626</v>
      </c>
      <c r="D371" s="72">
        <v>355985853</v>
      </c>
      <c r="E371" s="73">
        <v>2525478716</v>
      </c>
      <c r="F371" s="39" t="s">
        <v>256</v>
      </c>
      <c r="G371" s="49">
        <v>37298</v>
      </c>
      <c r="H371" s="50" t="str">
        <f t="shared" si="10"/>
        <v>Feb</v>
      </c>
      <c r="I371" s="51">
        <f t="shared" ca="1" si="11"/>
        <v>14</v>
      </c>
      <c r="J371" s="52" t="s">
        <v>257</v>
      </c>
      <c r="K371" s="53">
        <v>55240</v>
      </c>
      <c r="L371" s="54">
        <v>2</v>
      </c>
      <c r="M371" s="55"/>
    </row>
    <row r="372" spans="1:13" x14ac:dyDescent="0.25">
      <c r="A372" s="39" t="s">
        <v>656</v>
      </c>
      <c r="B372" s="46" t="s">
        <v>271</v>
      </c>
      <c r="C372" s="39" t="s">
        <v>626</v>
      </c>
      <c r="D372" s="72">
        <v>400260342</v>
      </c>
      <c r="E372" s="73">
        <v>9196798743</v>
      </c>
      <c r="F372" s="39" t="s">
        <v>247</v>
      </c>
      <c r="G372" s="49">
        <v>40284</v>
      </c>
      <c r="H372" s="50" t="str">
        <f t="shared" si="10"/>
        <v>Apr</v>
      </c>
      <c r="I372" s="51">
        <f t="shared" ca="1" si="11"/>
        <v>6</v>
      </c>
      <c r="J372" s="52"/>
      <c r="K372" s="53">
        <v>89360</v>
      </c>
      <c r="L372" s="54">
        <v>3</v>
      </c>
      <c r="M372" s="55"/>
    </row>
    <row r="373" spans="1:13" x14ac:dyDescent="0.25">
      <c r="A373" s="39" t="s">
        <v>657</v>
      </c>
      <c r="B373" s="46" t="s">
        <v>245</v>
      </c>
      <c r="C373" s="39" t="s">
        <v>626</v>
      </c>
      <c r="D373" s="72">
        <v>259330447</v>
      </c>
      <c r="E373" s="73">
        <v>9195252544</v>
      </c>
      <c r="F373" s="39" t="s">
        <v>247</v>
      </c>
      <c r="G373" s="49">
        <v>37193</v>
      </c>
      <c r="H373" s="50" t="str">
        <f t="shared" si="10"/>
        <v>Oct</v>
      </c>
      <c r="I373" s="51">
        <f t="shared" ca="1" si="11"/>
        <v>15</v>
      </c>
      <c r="J373" s="52"/>
      <c r="K373" s="53">
        <v>57140</v>
      </c>
      <c r="L373" s="54">
        <v>5</v>
      </c>
      <c r="M373" s="55"/>
    </row>
    <row r="374" spans="1:13" x14ac:dyDescent="0.25">
      <c r="A374" s="39" t="s">
        <v>658</v>
      </c>
      <c r="B374" s="46" t="s">
        <v>285</v>
      </c>
      <c r="C374" s="39" t="s">
        <v>626</v>
      </c>
      <c r="D374" s="72">
        <v>157257652</v>
      </c>
      <c r="E374" s="73">
        <v>9193262077</v>
      </c>
      <c r="F374" s="39" t="s">
        <v>247</v>
      </c>
      <c r="G374" s="49">
        <v>37704</v>
      </c>
      <c r="H374" s="50" t="str">
        <f t="shared" si="10"/>
        <v>Mar</v>
      </c>
      <c r="I374" s="51">
        <f t="shared" ca="1" si="11"/>
        <v>13</v>
      </c>
      <c r="J374" s="52"/>
      <c r="K374" s="53">
        <v>60240</v>
      </c>
      <c r="L374" s="54">
        <v>4</v>
      </c>
      <c r="M374" s="55"/>
    </row>
    <row r="375" spans="1:13" x14ac:dyDescent="0.25">
      <c r="A375" s="39" t="s">
        <v>659</v>
      </c>
      <c r="B375" s="46" t="s">
        <v>245</v>
      </c>
      <c r="C375" s="39" t="s">
        <v>626</v>
      </c>
      <c r="D375" s="72">
        <v>738946277</v>
      </c>
      <c r="E375" s="73">
        <v>9194331646</v>
      </c>
      <c r="F375" s="39" t="s">
        <v>256</v>
      </c>
      <c r="G375" s="49">
        <v>34224</v>
      </c>
      <c r="H375" s="50" t="str">
        <f t="shared" si="10"/>
        <v>Sep</v>
      </c>
      <c r="I375" s="51">
        <f t="shared" ca="1" si="11"/>
        <v>23</v>
      </c>
      <c r="J375" s="52" t="s">
        <v>262</v>
      </c>
      <c r="K375" s="53">
        <v>37510</v>
      </c>
      <c r="L375" s="54">
        <v>5</v>
      </c>
      <c r="M375" s="55"/>
    </row>
    <row r="376" spans="1:13" x14ac:dyDescent="0.25">
      <c r="A376" s="39" t="s">
        <v>660</v>
      </c>
      <c r="B376" s="46" t="s">
        <v>245</v>
      </c>
      <c r="C376" s="39" t="s">
        <v>626</v>
      </c>
      <c r="D376" s="72">
        <v>261920277</v>
      </c>
      <c r="E376" s="73">
        <v>2524272773</v>
      </c>
      <c r="F376" s="39" t="s">
        <v>256</v>
      </c>
      <c r="G376" s="49">
        <v>36857</v>
      </c>
      <c r="H376" s="50" t="str">
        <f t="shared" si="10"/>
        <v>Nov</v>
      </c>
      <c r="I376" s="51">
        <f t="shared" ca="1" si="11"/>
        <v>15</v>
      </c>
      <c r="J376" s="52" t="s">
        <v>276</v>
      </c>
      <c r="K376" s="53">
        <v>104200</v>
      </c>
      <c r="L376" s="54">
        <v>3</v>
      </c>
      <c r="M376" s="55"/>
    </row>
    <row r="377" spans="1:13" x14ac:dyDescent="0.25">
      <c r="A377" s="39" t="s">
        <v>661</v>
      </c>
      <c r="B377" s="46" t="s">
        <v>245</v>
      </c>
      <c r="C377" s="39" t="s">
        <v>626</v>
      </c>
      <c r="D377" s="72">
        <v>948189231</v>
      </c>
      <c r="E377" s="73">
        <v>2527687161</v>
      </c>
      <c r="F377" s="39" t="s">
        <v>256</v>
      </c>
      <c r="G377" s="49">
        <v>34703</v>
      </c>
      <c r="H377" s="50" t="str">
        <f t="shared" si="10"/>
        <v>Jan</v>
      </c>
      <c r="I377" s="51">
        <f t="shared" ca="1" si="11"/>
        <v>21</v>
      </c>
      <c r="J377" s="52" t="s">
        <v>257</v>
      </c>
      <c r="K377" s="53">
        <v>44420</v>
      </c>
      <c r="L377" s="54">
        <v>2</v>
      </c>
      <c r="M377" s="55"/>
    </row>
    <row r="378" spans="1:13" x14ac:dyDescent="0.25">
      <c r="A378" s="39" t="s">
        <v>662</v>
      </c>
      <c r="B378" s="46" t="s">
        <v>285</v>
      </c>
      <c r="C378" s="39" t="s">
        <v>626</v>
      </c>
      <c r="D378" s="72">
        <v>443476169</v>
      </c>
      <c r="E378" s="73">
        <v>9195085809</v>
      </c>
      <c r="F378" s="39" t="s">
        <v>256</v>
      </c>
      <c r="G378" s="49">
        <v>35068</v>
      </c>
      <c r="H378" s="50" t="str">
        <f t="shared" si="10"/>
        <v>Jan</v>
      </c>
      <c r="I378" s="51">
        <f t="shared" ca="1" si="11"/>
        <v>20</v>
      </c>
      <c r="J378" s="52" t="s">
        <v>267</v>
      </c>
      <c r="K378" s="53">
        <v>103850</v>
      </c>
      <c r="L378" s="54">
        <v>4</v>
      </c>
      <c r="M378" s="55"/>
    </row>
    <row r="379" spans="1:13" x14ac:dyDescent="0.25">
      <c r="A379" s="39" t="s">
        <v>663</v>
      </c>
      <c r="B379" s="46" t="s">
        <v>285</v>
      </c>
      <c r="C379" s="39" t="s">
        <v>626</v>
      </c>
      <c r="D379" s="72">
        <v>983891302</v>
      </c>
      <c r="E379" s="73">
        <v>9191462245</v>
      </c>
      <c r="F379" s="39" t="s">
        <v>256</v>
      </c>
      <c r="G379" s="49">
        <v>36548</v>
      </c>
      <c r="H379" s="50" t="str">
        <f t="shared" si="10"/>
        <v>Jan</v>
      </c>
      <c r="I379" s="51">
        <f t="shared" ca="1" si="11"/>
        <v>16</v>
      </c>
      <c r="J379" s="52" t="s">
        <v>257</v>
      </c>
      <c r="K379" s="53">
        <v>97970</v>
      </c>
      <c r="L379" s="54">
        <v>4</v>
      </c>
      <c r="M379" s="55"/>
    </row>
    <row r="380" spans="1:13" x14ac:dyDescent="0.25">
      <c r="A380" s="39" t="s">
        <v>664</v>
      </c>
      <c r="B380" s="46" t="s">
        <v>251</v>
      </c>
      <c r="C380" s="39" t="s">
        <v>626</v>
      </c>
      <c r="D380" s="72">
        <v>345817459</v>
      </c>
      <c r="E380" s="73">
        <v>9195594427</v>
      </c>
      <c r="F380" s="39" t="s">
        <v>247</v>
      </c>
      <c r="G380" s="49">
        <v>37200</v>
      </c>
      <c r="H380" s="50" t="str">
        <f t="shared" si="10"/>
        <v>Nov</v>
      </c>
      <c r="I380" s="51">
        <f t="shared" ca="1" si="11"/>
        <v>15</v>
      </c>
      <c r="J380" s="52"/>
      <c r="K380" s="53">
        <v>37520</v>
      </c>
      <c r="L380" s="54">
        <v>5</v>
      </c>
      <c r="M380" s="55"/>
    </row>
    <row r="381" spans="1:13" x14ac:dyDescent="0.25">
      <c r="A381" s="39" t="s">
        <v>665</v>
      </c>
      <c r="B381" s="46" t="s">
        <v>245</v>
      </c>
      <c r="C381" s="39" t="s">
        <v>626</v>
      </c>
      <c r="D381" s="72">
        <v>662247915</v>
      </c>
      <c r="E381" s="73">
        <v>9194378387</v>
      </c>
      <c r="F381" s="39" t="s">
        <v>256</v>
      </c>
      <c r="G381" s="49">
        <v>37941</v>
      </c>
      <c r="H381" s="50" t="str">
        <f t="shared" si="10"/>
        <v>Nov</v>
      </c>
      <c r="I381" s="51">
        <f t="shared" ca="1" si="11"/>
        <v>13</v>
      </c>
      <c r="J381" s="52" t="s">
        <v>257</v>
      </c>
      <c r="K381" s="53">
        <v>58790</v>
      </c>
      <c r="L381" s="54">
        <v>5</v>
      </c>
      <c r="M381" s="55"/>
    </row>
    <row r="382" spans="1:13" x14ac:dyDescent="0.25">
      <c r="A382" s="39" t="s">
        <v>666</v>
      </c>
      <c r="B382" s="46" t="s">
        <v>285</v>
      </c>
      <c r="C382" s="39" t="s">
        <v>626</v>
      </c>
      <c r="D382" s="72">
        <v>422957475</v>
      </c>
      <c r="E382" s="73">
        <v>2524273090</v>
      </c>
      <c r="F382" s="39" t="s">
        <v>256</v>
      </c>
      <c r="G382" s="49">
        <v>35178</v>
      </c>
      <c r="H382" s="50" t="str">
        <f t="shared" si="10"/>
        <v>Apr</v>
      </c>
      <c r="I382" s="51">
        <f t="shared" ca="1" si="11"/>
        <v>20</v>
      </c>
      <c r="J382" s="52" t="s">
        <v>283</v>
      </c>
      <c r="K382" s="53">
        <v>78300</v>
      </c>
      <c r="L382" s="54">
        <v>2</v>
      </c>
      <c r="M382" s="55"/>
    </row>
    <row r="383" spans="1:13" x14ac:dyDescent="0.25">
      <c r="A383" s="39" t="s">
        <v>667</v>
      </c>
      <c r="B383" s="46" t="s">
        <v>280</v>
      </c>
      <c r="C383" s="39" t="s">
        <v>626</v>
      </c>
      <c r="D383" s="72">
        <v>357081517</v>
      </c>
      <c r="E383" s="73">
        <v>2527660273</v>
      </c>
      <c r="F383" s="39" t="s">
        <v>261</v>
      </c>
      <c r="G383" s="49">
        <v>37372</v>
      </c>
      <c r="H383" s="50" t="str">
        <f t="shared" si="10"/>
        <v>Apr</v>
      </c>
      <c r="I383" s="51">
        <f t="shared" ca="1" si="11"/>
        <v>14</v>
      </c>
      <c r="J383" s="52" t="s">
        <v>283</v>
      </c>
      <c r="K383" s="53">
        <v>32150</v>
      </c>
      <c r="L383" s="54">
        <v>2</v>
      </c>
      <c r="M383" s="55"/>
    </row>
    <row r="384" spans="1:13" x14ac:dyDescent="0.25">
      <c r="A384" s="39" t="s">
        <v>668</v>
      </c>
      <c r="B384" s="46" t="s">
        <v>271</v>
      </c>
      <c r="C384" s="39" t="s">
        <v>626</v>
      </c>
      <c r="D384" s="72">
        <v>626767704</v>
      </c>
      <c r="E384" s="73">
        <v>2526971022</v>
      </c>
      <c r="F384" s="39" t="s">
        <v>247</v>
      </c>
      <c r="G384" s="49">
        <v>36777</v>
      </c>
      <c r="H384" s="50" t="str">
        <f t="shared" si="10"/>
        <v>Sep</v>
      </c>
      <c r="I384" s="51">
        <f t="shared" ca="1" si="11"/>
        <v>16</v>
      </c>
      <c r="J384" s="52"/>
      <c r="K384" s="53">
        <v>93520</v>
      </c>
      <c r="L384" s="54">
        <v>5</v>
      </c>
      <c r="M384" s="55"/>
    </row>
    <row r="385" spans="1:17" x14ac:dyDescent="0.25">
      <c r="A385" s="39" t="s">
        <v>669</v>
      </c>
      <c r="B385" s="46" t="s">
        <v>285</v>
      </c>
      <c r="C385" s="39" t="s">
        <v>626</v>
      </c>
      <c r="D385" s="72">
        <v>479081328</v>
      </c>
      <c r="E385" s="73">
        <v>2525368383</v>
      </c>
      <c r="F385" s="39" t="s">
        <v>247</v>
      </c>
      <c r="G385" s="49">
        <v>36683</v>
      </c>
      <c r="H385" s="50" t="str">
        <f t="shared" si="10"/>
        <v>Jun</v>
      </c>
      <c r="I385" s="51">
        <f t="shared" ca="1" si="11"/>
        <v>16</v>
      </c>
      <c r="J385" s="52"/>
      <c r="K385" s="53">
        <v>76620</v>
      </c>
      <c r="L385" s="54">
        <v>2</v>
      </c>
      <c r="M385" s="55"/>
    </row>
    <row r="386" spans="1:17" x14ac:dyDescent="0.25">
      <c r="A386" s="39" t="s">
        <v>670</v>
      </c>
      <c r="B386" s="46" t="s">
        <v>245</v>
      </c>
      <c r="C386" s="39" t="s">
        <v>626</v>
      </c>
      <c r="D386" s="72">
        <v>917714039</v>
      </c>
      <c r="E386" s="73">
        <v>9194402150</v>
      </c>
      <c r="F386" s="39" t="s">
        <v>256</v>
      </c>
      <c r="G386" s="49">
        <v>36221</v>
      </c>
      <c r="H386" s="50" t="str">
        <f t="shared" ref="H386:H449" si="12">CHOOSE(MONTH(G386),"Jan","Feb","Mar","Apr","May","Jun","Jul","Aug","Sep","Oct","Nov","Dec")</f>
        <v>Mar</v>
      </c>
      <c r="I386" s="51">
        <f t="shared" ref="I386:I449" ca="1" si="13">DATEDIF(G386,TODAY(),"Y")</f>
        <v>17</v>
      </c>
      <c r="J386" s="52" t="s">
        <v>267</v>
      </c>
      <c r="K386" s="53">
        <v>84580</v>
      </c>
      <c r="L386" s="54">
        <v>4</v>
      </c>
      <c r="M386" s="55"/>
    </row>
    <row r="387" spans="1:17" x14ac:dyDescent="0.25">
      <c r="A387" s="39" t="s">
        <v>671</v>
      </c>
      <c r="B387" s="46" t="s">
        <v>266</v>
      </c>
      <c r="C387" s="39" t="s">
        <v>626</v>
      </c>
      <c r="D387" s="72">
        <v>650784238</v>
      </c>
      <c r="E387" s="73">
        <v>9194679864</v>
      </c>
      <c r="F387" s="39" t="s">
        <v>247</v>
      </c>
      <c r="G387" s="49">
        <v>36519</v>
      </c>
      <c r="H387" s="50" t="str">
        <f t="shared" si="12"/>
        <v>Dec</v>
      </c>
      <c r="I387" s="51">
        <f t="shared" ca="1" si="13"/>
        <v>16</v>
      </c>
      <c r="J387" s="52"/>
      <c r="K387" s="53">
        <v>64640</v>
      </c>
      <c r="L387" s="54">
        <v>2</v>
      </c>
      <c r="M387" s="55"/>
    </row>
    <row r="388" spans="1:17" x14ac:dyDescent="0.25">
      <c r="A388" s="39" t="s">
        <v>672</v>
      </c>
      <c r="B388" s="46" t="s">
        <v>280</v>
      </c>
      <c r="C388" s="39" t="s">
        <v>626</v>
      </c>
      <c r="D388" s="72">
        <v>279097202</v>
      </c>
      <c r="E388" s="78">
        <v>9196844371</v>
      </c>
      <c r="F388" s="39" t="s">
        <v>256</v>
      </c>
      <c r="G388" s="49">
        <v>34248</v>
      </c>
      <c r="H388" s="50" t="str">
        <f t="shared" si="12"/>
        <v>Oct</v>
      </c>
      <c r="I388" s="51">
        <f t="shared" ca="1" si="13"/>
        <v>23</v>
      </c>
      <c r="J388" s="52" t="s">
        <v>257</v>
      </c>
      <c r="K388" s="53">
        <v>75290</v>
      </c>
      <c r="L388" s="54">
        <v>4</v>
      </c>
      <c r="M388" s="55"/>
    </row>
    <row r="389" spans="1:17" x14ac:dyDescent="0.25">
      <c r="A389" s="39" t="s">
        <v>673</v>
      </c>
      <c r="B389" s="46" t="s">
        <v>280</v>
      </c>
      <c r="C389" s="39" t="s">
        <v>626</v>
      </c>
      <c r="D389" s="72">
        <v>168147877</v>
      </c>
      <c r="E389" s="73">
        <v>9196530760</v>
      </c>
      <c r="F389" s="39" t="s">
        <v>261</v>
      </c>
      <c r="G389" s="49">
        <v>38142</v>
      </c>
      <c r="H389" s="50" t="str">
        <f t="shared" si="12"/>
        <v>Jun</v>
      </c>
      <c r="I389" s="51">
        <f t="shared" ca="1" si="13"/>
        <v>12</v>
      </c>
      <c r="J389" s="52" t="s">
        <v>276</v>
      </c>
      <c r="K389" s="53">
        <v>19090</v>
      </c>
      <c r="L389" s="54">
        <v>3</v>
      </c>
      <c r="M389" s="55"/>
    </row>
    <row r="390" spans="1:17" x14ac:dyDescent="0.25">
      <c r="A390" s="39" t="s">
        <v>674</v>
      </c>
      <c r="B390" s="46" t="s">
        <v>251</v>
      </c>
      <c r="C390" s="39" t="s">
        <v>626</v>
      </c>
      <c r="D390" s="72">
        <v>788451186</v>
      </c>
      <c r="E390" s="73">
        <v>9191682521</v>
      </c>
      <c r="F390" s="39" t="s">
        <v>247</v>
      </c>
      <c r="G390" s="49">
        <v>39497</v>
      </c>
      <c r="H390" s="50" t="str">
        <f t="shared" si="12"/>
        <v>Feb</v>
      </c>
      <c r="I390" s="51">
        <f t="shared" ca="1" si="13"/>
        <v>8</v>
      </c>
      <c r="J390" s="52"/>
      <c r="K390" s="53">
        <v>69020</v>
      </c>
      <c r="L390" s="54">
        <v>3</v>
      </c>
      <c r="M390" s="55"/>
    </row>
    <row r="391" spans="1:17" x14ac:dyDescent="0.25">
      <c r="A391" s="39" t="s">
        <v>675</v>
      </c>
      <c r="B391" s="46" t="s">
        <v>285</v>
      </c>
      <c r="C391" s="39" t="s">
        <v>626</v>
      </c>
      <c r="D391" s="72">
        <v>294161481</v>
      </c>
      <c r="E391" s="73">
        <v>2521201242</v>
      </c>
      <c r="F391" s="39" t="s">
        <v>261</v>
      </c>
      <c r="G391" s="49">
        <v>37095</v>
      </c>
      <c r="H391" s="50" t="str">
        <f t="shared" si="12"/>
        <v>Jul</v>
      </c>
      <c r="I391" s="51">
        <f t="shared" ca="1" si="13"/>
        <v>15</v>
      </c>
      <c r="J391" s="52" t="s">
        <v>257</v>
      </c>
      <c r="K391" s="53">
        <v>57460</v>
      </c>
      <c r="L391" s="54">
        <v>1</v>
      </c>
      <c r="M391" s="55"/>
    </row>
    <row r="392" spans="1:17" x14ac:dyDescent="0.25">
      <c r="A392" s="39" t="s">
        <v>676</v>
      </c>
      <c r="B392" s="46" t="s">
        <v>271</v>
      </c>
      <c r="C392" s="39" t="s">
        <v>626</v>
      </c>
      <c r="D392" s="72">
        <v>393290045</v>
      </c>
      <c r="E392" s="73">
        <v>2525268508</v>
      </c>
      <c r="F392" s="39" t="s">
        <v>261</v>
      </c>
      <c r="G392" s="49">
        <v>38167</v>
      </c>
      <c r="H392" s="50" t="str">
        <f t="shared" si="12"/>
        <v>Jun</v>
      </c>
      <c r="I392" s="51">
        <f t="shared" ca="1" si="13"/>
        <v>12</v>
      </c>
      <c r="J392" s="52" t="s">
        <v>262</v>
      </c>
      <c r="K392" s="53">
        <v>56750</v>
      </c>
      <c r="L392" s="54">
        <v>4</v>
      </c>
      <c r="M392" s="55"/>
    </row>
    <row r="393" spans="1:17" x14ac:dyDescent="0.25">
      <c r="A393" s="39" t="s">
        <v>677</v>
      </c>
      <c r="B393" s="46" t="s">
        <v>285</v>
      </c>
      <c r="C393" s="39" t="s">
        <v>678</v>
      </c>
      <c r="D393" s="72">
        <v>414905182</v>
      </c>
      <c r="E393" s="73">
        <v>9193820411</v>
      </c>
      <c r="F393" s="39" t="s">
        <v>256</v>
      </c>
      <c r="G393" s="49">
        <v>36122</v>
      </c>
      <c r="H393" s="50" t="str">
        <f t="shared" si="12"/>
        <v>Nov</v>
      </c>
      <c r="I393" s="51">
        <f t="shared" ca="1" si="13"/>
        <v>17</v>
      </c>
      <c r="J393" s="52" t="s">
        <v>283</v>
      </c>
      <c r="K393" s="53">
        <v>27430</v>
      </c>
      <c r="L393" s="54">
        <v>5</v>
      </c>
      <c r="M393" s="55"/>
      <c r="P393" s="75"/>
      <c r="Q393" s="75"/>
    </row>
    <row r="394" spans="1:17" x14ac:dyDescent="0.25">
      <c r="A394" s="39" t="s">
        <v>679</v>
      </c>
      <c r="B394" s="46" t="s">
        <v>285</v>
      </c>
      <c r="C394" s="39" t="s">
        <v>678</v>
      </c>
      <c r="D394" s="72">
        <v>802700229</v>
      </c>
      <c r="E394" s="73">
        <v>2524264889</v>
      </c>
      <c r="F394" s="39" t="s">
        <v>256</v>
      </c>
      <c r="G394" s="49">
        <v>34905</v>
      </c>
      <c r="H394" s="50" t="str">
        <f t="shared" si="12"/>
        <v>Jul</v>
      </c>
      <c r="I394" s="51">
        <f t="shared" ca="1" si="13"/>
        <v>21</v>
      </c>
      <c r="J394" s="52" t="s">
        <v>262</v>
      </c>
      <c r="K394" s="53">
        <v>105580</v>
      </c>
      <c r="L394" s="54">
        <v>1</v>
      </c>
      <c r="M394" s="55"/>
    </row>
    <row r="395" spans="1:17" x14ac:dyDescent="0.25">
      <c r="A395" s="39" t="s">
        <v>680</v>
      </c>
      <c r="B395" s="46" t="s">
        <v>280</v>
      </c>
      <c r="C395" s="39" t="s">
        <v>678</v>
      </c>
      <c r="D395" s="72">
        <v>303641529</v>
      </c>
      <c r="E395" s="73">
        <v>9196753698</v>
      </c>
      <c r="F395" s="39" t="s">
        <v>261</v>
      </c>
      <c r="G395" s="49">
        <v>36151</v>
      </c>
      <c r="H395" s="50" t="str">
        <f t="shared" si="12"/>
        <v>Dec</v>
      </c>
      <c r="I395" s="51">
        <f t="shared" ca="1" si="13"/>
        <v>17</v>
      </c>
      <c r="J395" s="52" t="s">
        <v>257</v>
      </c>
      <c r="K395" s="53">
        <v>59290</v>
      </c>
      <c r="L395" s="54">
        <v>4</v>
      </c>
      <c r="M395" s="55"/>
    </row>
    <row r="396" spans="1:17" x14ac:dyDescent="0.25">
      <c r="A396" s="39" t="s">
        <v>681</v>
      </c>
      <c r="B396" s="46" t="s">
        <v>280</v>
      </c>
      <c r="C396" s="39" t="s">
        <v>678</v>
      </c>
      <c r="D396" s="72">
        <v>478004556</v>
      </c>
      <c r="E396" s="73">
        <v>9193891189</v>
      </c>
      <c r="F396" s="39" t="s">
        <v>256</v>
      </c>
      <c r="G396" s="49">
        <v>41534</v>
      </c>
      <c r="H396" s="50" t="str">
        <f t="shared" si="12"/>
        <v>Sep</v>
      </c>
      <c r="I396" s="51">
        <f t="shared" ca="1" si="13"/>
        <v>3</v>
      </c>
      <c r="J396" s="52" t="s">
        <v>276</v>
      </c>
      <c r="K396" s="53">
        <v>74620</v>
      </c>
      <c r="L396" s="54">
        <v>2</v>
      </c>
      <c r="M396" s="55"/>
    </row>
    <row r="397" spans="1:17" x14ac:dyDescent="0.25">
      <c r="A397" s="39" t="s">
        <v>682</v>
      </c>
      <c r="B397" s="46" t="s">
        <v>251</v>
      </c>
      <c r="C397" s="39" t="s">
        <v>678</v>
      </c>
      <c r="D397" s="72">
        <v>859204644</v>
      </c>
      <c r="E397" s="73">
        <v>9191617913</v>
      </c>
      <c r="F397" s="39" t="s">
        <v>247</v>
      </c>
      <c r="G397" s="49">
        <v>36725</v>
      </c>
      <c r="H397" s="50" t="str">
        <f t="shared" si="12"/>
        <v>Jul</v>
      </c>
      <c r="I397" s="51">
        <f t="shared" ca="1" si="13"/>
        <v>16</v>
      </c>
      <c r="J397" s="52"/>
      <c r="K397" s="53">
        <v>103760</v>
      </c>
      <c r="L397" s="54">
        <v>4</v>
      </c>
      <c r="M397" s="55"/>
    </row>
    <row r="398" spans="1:17" x14ac:dyDescent="0.25">
      <c r="A398" s="39" t="s">
        <v>683</v>
      </c>
      <c r="B398" s="46" t="s">
        <v>266</v>
      </c>
      <c r="C398" s="39" t="s">
        <v>678</v>
      </c>
      <c r="D398" s="72">
        <v>917195248</v>
      </c>
      <c r="E398" s="73">
        <v>9194605984</v>
      </c>
      <c r="F398" s="39" t="s">
        <v>252</v>
      </c>
      <c r="G398" s="49">
        <v>38828</v>
      </c>
      <c r="H398" s="50" t="str">
        <f t="shared" si="12"/>
        <v>Apr</v>
      </c>
      <c r="I398" s="51">
        <f t="shared" ca="1" si="13"/>
        <v>10</v>
      </c>
      <c r="J398" s="52"/>
      <c r="K398" s="53">
        <v>13250</v>
      </c>
      <c r="L398" s="54">
        <v>2</v>
      </c>
      <c r="M398" s="55"/>
    </row>
    <row r="399" spans="1:17" x14ac:dyDescent="0.25">
      <c r="A399" s="39" t="s">
        <v>684</v>
      </c>
      <c r="B399" s="46" t="s">
        <v>271</v>
      </c>
      <c r="C399" s="39" t="s">
        <v>678</v>
      </c>
      <c r="D399" s="72">
        <v>788832967</v>
      </c>
      <c r="E399" s="73">
        <v>2521919147</v>
      </c>
      <c r="F399" s="39" t="s">
        <v>252</v>
      </c>
      <c r="G399" s="49">
        <v>36382</v>
      </c>
      <c r="H399" s="50" t="str">
        <f t="shared" si="12"/>
        <v>Aug</v>
      </c>
      <c r="I399" s="51">
        <f t="shared" ca="1" si="13"/>
        <v>17</v>
      </c>
      <c r="J399" s="52"/>
      <c r="K399" s="53">
        <v>42370</v>
      </c>
      <c r="L399" s="54">
        <v>3</v>
      </c>
      <c r="M399" s="55"/>
      <c r="P399" s="75"/>
      <c r="Q399" s="75"/>
    </row>
    <row r="400" spans="1:17" x14ac:dyDescent="0.25">
      <c r="A400" s="39" t="s">
        <v>685</v>
      </c>
      <c r="B400" s="46" t="s">
        <v>266</v>
      </c>
      <c r="C400" s="39" t="s">
        <v>678</v>
      </c>
      <c r="D400" s="72">
        <v>113377726</v>
      </c>
      <c r="E400" s="73">
        <v>9197494648</v>
      </c>
      <c r="F400" s="39" t="s">
        <v>256</v>
      </c>
      <c r="G400" s="49">
        <v>37467</v>
      </c>
      <c r="H400" s="50" t="str">
        <f t="shared" si="12"/>
        <v>Jul</v>
      </c>
      <c r="I400" s="51">
        <f t="shared" ca="1" si="13"/>
        <v>14</v>
      </c>
      <c r="J400" s="52" t="s">
        <v>283</v>
      </c>
      <c r="K400" s="53">
        <v>82090</v>
      </c>
      <c r="L400" s="54">
        <v>5</v>
      </c>
      <c r="M400" s="55"/>
    </row>
    <row r="401" spans="1:13" x14ac:dyDescent="0.25">
      <c r="A401" s="39" t="s">
        <v>686</v>
      </c>
      <c r="B401" s="46" t="s">
        <v>280</v>
      </c>
      <c r="C401" s="39" t="s">
        <v>678</v>
      </c>
      <c r="D401" s="72">
        <v>665006199</v>
      </c>
      <c r="E401" s="73">
        <v>2525555817</v>
      </c>
      <c r="F401" s="39" t="s">
        <v>256</v>
      </c>
      <c r="G401" s="49">
        <v>37568</v>
      </c>
      <c r="H401" s="50" t="str">
        <f t="shared" si="12"/>
        <v>Nov</v>
      </c>
      <c r="I401" s="51">
        <f t="shared" ca="1" si="13"/>
        <v>14</v>
      </c>
      <c r="J401" s="52" t="s">
        <v>276</v>
      </c>
      <c r="K401" s="53">
        <v>54540</v>
      </c>
      <c r="L401" s="54">
        <v>5</v>
      </c>
      <c r="M401" s="55"/>
    </row>
    <row r="402" spans="1:13" x14ac:dyDescent="0.25">
      <c r="A402" s="39" t="s">
        <v>687</v>
      </c>
      <c r="B402" s="46" t="s">
        <v>271</v>
      </c>
      <c r="C402" s="39" t="s">
        <v>678</v>
      </c>
      <c r="D402" s="72">
        <v>332302868</v>
      </c>
      <c r="E402" s="73">
        <v>9196109756</v>
      </c>
      <c r="F402" s="39" t="s">
        <v>256</v>
      </c>
      <c r="G402" s="49">
        <v>37176</v>
      </c>
      <c r="H402" s="50" t="str">
        <f t="shared" si="12"/>
        <v>Oct</v>
      </c>
      <c r="I402" s="51">
        <f t="shared" ca="1" si="13"/>
        <v>15</v>
      </c>
      <c r="J402" s="52" t="s">
        <v>283</v>
      </c>
      <c r="K402" s="53">
        <v>28220</v>
      </c>
      <c r="L402" s="54">
        <v>2</v>
      </c>
      <c r="M402" s="55"/>
    </row>
    <row r="403" spans="1:13" x14ac:dyDescent="0.25">
      <c r="A403" s="39" t="s">
        <v>688</v>
      </c>
      <c r="B403" s="46" t="s">
        <v>251</v>
      </c>
      <c r="C403" s="39" t="s">
        <v>678</v>
      </c>
      <c r="D403" s="72">
        <v>755945415</v>
      </c>
      <c r="E403" s="73">
        <v>2524373324</v>
      </c>
      <c r="F403" s="39" t="s">
        <v>247</v>
      </c>
      <c r="G403" s="49">
        <v>41334</v>
      </c>
      <c r="H403" s="50" t="str">
        <f t="shared" si="12"/>
        <v>Mar</v>
      </c>
      <c r="I403" s="51">
        <f t="shared" ca="1" si="13"/>
        <v>3</v>
      </c>
      <c r="J403" s="52"/>
      <c r="K403" s="53">
        <v>88820</v>
      </c>
      <c r="L403" s="54">
        <v>2</v>
      </c>
      <c r="M403" s="55"/>
    </row>
    <row r="404" spans="1:13" x14ac:dyDescent="0.25">
      <c r="A404" s="39" t="s">
        <v>689</v>
      </c>
      <c r="B404" s="46" t="s">
        <v>285</v>
      </c>
      <c r="C404" s="39" t="s">
        <v>678</v>
      </c>
      <c r="D404" s="72">
        <v>167646549</v>
      </c>
      <c r="E404" s="73">
        <v>9197187041</v>
      </c>
      <c r="F404" s="39" t="s">
        <v>247</v>
      </c>
      <c r="G404" s="49">
        <v>38804</v>
      </c>
      <c r="H404" s="50" t="str">
        <f t="shared" si="12"/>
        <v>Mar</v>
      </c>
      <c r="I404" s="51">
        <f t="shared" ca="1" si="13"/>
        <v>10</v>
      </c>
      <c r="J404" s="52"/>
      <c r="K404" s="53">
        <v>93720</v>
      </c>
      <c r="L404" s="54">
        <v>3</v>
      </c>
      <c r="M404" s="55"/>
    </row>
    <row r="405" spans="1:13" x14ac:dyDescent="0.25">
      <c r="A405" s="39" t="s">
        <v>690</v>
      </c>
      <c r="B405" s="46" t="s">
        <v>280</v>
      </c>
      <c r="C405" s="39" t="s">
        <v>678</v>
      </c>
      <c r="D405" s="72">
        <v>247555666</v>
      </c>
      <c r="E405" s="73">
        <v>2528183445</v>
      </c>
      <c r="F405" s="39" t="s">
        <v>256</v>
      </c>
      <c r="G405" s="49">
        <v>34618</v>
      </c>
      <c r="H405" s="50" t="str">
        <f t="shared" si="12"/>
        <v>Oct</v>
      </c>
      <c r="I405" s="51">
        <f t="shared" ca="1" si="13"/>
        <v>22</v>
      </c>
      <c r="J405" s="52" t="s">
        <v>257</v>
      </c>
      <c r="K405" s="53">
        <v>46930</v>
      </c>
      <c r="L405" s="54">
        <v>5</v>
      </c>
      <c r="M405" s="55"/>
    </row>
    <row r="406" spans="1:13" x14ac:dyDescent="0.25">
      <c r="A406" s="39" t="s">
        <v>691</v>
      </c>
      <c r="B406" s="46" t="s">
        <v>245</v>
      </c>
      <c r="C406" s="39" t="s">
        <v>678</v>
      </c>
      <c r="D406" s="72">
        <v>550291321</v>
      </c>
      <c r="E406" s="73">
        <v>9192529195</v>
      </c>
      <c r="F406" s="39" t="s">
        <v>247</v>
      </c>
      <c r="G406" s="49">
        <v>37048</v>
      </c>
      <c r="H406" s="50" t="str">
        <f t="shared" si="12"/>
        <v>Jun</v>
      </c>
      <c r="I406" s="51">
        <f t="shared" ca="1" si="13"/>
        <v>15</v>
      </c>
      <c r="J406" s="52"/>
      <c r="K406" s="53">
        <v>86980</v>
      </c>
      <c r="L406" s="54">
        <v>2</v>
      </c>
      <c r="M406" s="55"/>
    </row>
    <row r="407" spans="1:13" x14ac:dyDescent="0.25">
      <c r="A407" s="39" t="s">
        <v>692</v>
      </c>
      <c r="B407" s="46" t="s">
        <v>285</v>
      </c>
      <c r="C407" s="39" t="s">
        <v>678</v>
      </c>
      <c r="D407" s="72">
        <v>468953266</v>
      </c>
      <c r="E407" s="73">
        <v>9192126707</v>
      </c>
      <c r="F407" s="39" t="s">
        <v>256</v>
      </c>
      <c r="G407" s="49">
        <v>34742</v>
      </c>
      <c r="H407" s="50" t="str">
        <f t="shared" si="12"/>
        <v>Feb</v>
      </c>
      <c r="I407" s="51">
        <f t="shared" ca="1" si="13"/>
        <v>21</v>
      </c>
      <c r="J407" s="52" t="s">
        <v>257</v>
      </c>
      <c r="K407" s="53">
        <v>58260</v>
      </c>
      <c r="L407" s="54">
        <v>5</v>
      </c>
      <c r="M407" s="55"/>
    </row>
    <row r="408" spans="1:13" x14ac:dyDescent="0.25">
      <c r="A408" s="39" t="s">
        <v>693</v>
      </c>
      <c r="B408" s="46" t="s">
        <v>245</v>
      </c>
      <c r="C408" s="39" t="s">
        <v>678</v>
      </c>
      <c r="D408" s="72">
        <v>261486180</v>
      </c>
      <c r="E408" s="73">
        <v>2522523567</v>
      </c>
      <c r="F408" s="39" t="s">
        <v>247</v>
      </c>
      <c r="G408" s="49">
        <v>38237</v>
      </c>
      <c r="H408" s="50" t="str">
        <f t="shared" si="12"/>
        <v>Sep</v>
      </c>
      <c r="I408" s="51">
        <f t="shared" ca="1" si="13"/>
        <v>12</v>
      </c>
      <c r="J408" s="52"/>
      <c r="K408" s="53">
        <v>35450</v>
      </c>
      <c r="L408" s="54">
        <v>3</v>
      </c>
      <c r="M408" s="55"/>
    </row>
    <row r="409" spans="1:13" x14ac:dyDescent="0.25">
      <c r="A409" s="39" t="s">
        <v>694</v>
      </c>
      <c r="B409" s="46" t="s">
        <v>285</v>
      </c>
      <c r="C409" s="39" t="s">
        <v>678</v>
      </c>
      <c r="D409" s="72">
        <v>557568959</v>
      </c>
      <c r="E409" s="73">
        <v>9192783818</v>
      </c>
      <c r="F409" s="39" t="s">
        <v>247</v>
      </c>
      <c r="G409" s="49">
        <v>36448</v>
      </c>
      <c r="H409" s="50" t="str">
        <f t="shared" si="12"/>
        <v>Oct</v>
      </c>
      <c r="I409" s="51">
        <f t="shared" ca="1" si="13"/>
        <v>17</v>
      </c>
      <c r="J409" s="52"/>
      <c r="K409" s="53">
        <v>65030</v>
      </c>
      <c r="L409" s="54">
        <v>4</v>
      </c>
      <c r="M409" s="55"/>
    </row>
    <row r="410" spans="1:13" x14ac:dyDescent="0.25">
      <c r="A410" s="39" t="s">
        <v>695</v>
      </c>
      <c r="B410" s="46" t="s">
        <v>271</v>
      </c>
      <c r="C410" s="39" t="s">
        <v>678</v>
      </c>
      <c r="D410" s="72">
        <v>122440839</v>
      </c>
      <c r="E410" s="73">
        <v>2526525807</v>
      </c>
      <c r="F410" s="39" t="s">
        <v>261</v>
      </c>
      <c r="G410" s="49">
        <v>36962</v>
      </c>
      <c r="H410" s="50" t="str">
        <f t="shared" si="12"/>
        <v>Mar</v>
      </c>
      <c r="I410" s="51">
        <f t="shared" ca="1" si="13"/>
        <v>15</v>
      </c>
      <c r="J410" s="52" t="s">
        <v>257</v>
      </c>
      <c r="K410" s="53">
        <v>24600</v>
      </c>
      <c r="L410" s="54">
        <v>3</v>
      </c>
      <c r="M410" s="55"/>
    </row>
    <row r="411" spans="1:13" x14ac:dyDescent="0.25">
      <c r="A411" s="39" t="s">
        <v>696</v>
      </c>
      <c r="B411" s="46" t="s">
        <v>271</v>
      </c>
      <c r="C411" s="39" t="s">
        <v>678</v>
      </c>
      <c r="D411" s="72">
        <v>797431044</v>
      </c>
      <c r="E411" s="73">
        <v>2523820613</v>
      </c>
      <c r="F411" s="39" t="s">
        <v>252</v>
      </c>
      <c r="G411" s="49">
        <v>37085</v>
      </c>
      <c r="H411" s="50" t="str">
        <f t="shared" si="12"/>
        <v>Jul</v>
      </c>
      <c r="I411" s="51">
        <f t="shared" ca="1" si="13"/>
        <v>15</v>
      </c>
      <c r="J411" s="52"/>
      <c r="K411" s="53">
        <v>26000</v>
      </c>
      <c r="L411" s="54">
        <v>4</v>
      </c>
      <c r="M411" s="55"/>
    </row>
    <row r="412" spans="1:13" x14ac:dyDescent="0.25">
      <c r="A412" s="39" t="s">
        <v>697</v>
      </c>
      <c r="B412" s="46" t="s">
        <v>271</v>
      </c>
      <c r="C412" s="39" t="s">
        <v>678</v>
      </c>
      <c r="D412" s="72">
        <v>397835298</v>
      </c>
      <c r="E412" s="73">
        <v>9196795200</v>
      </c>
      <c r="F412" s="39" t="s">
        <v>247</v>
      </c>
      <c r="G412" s="49">
        <v>41373</v>
      </c>
      <c r="H412" s="50" t="str">
        <f t="shared" si="12"/>
        <v>Apr</v>
      </c>
      <c r="I412" s="51">
        <f t="shared" ca="1" si="13"/>
        <v>3</v>
      </c>
      <c r="J412" s="52"/>
      <c r="K412" s="53">
        <v>90120</v>
      </c>
      <c r="L412" s="54">
        <v>4</v>
      </c>
      <c r="M412" s="55"/>
    </row>
    <row r="413" spans="1:13" x14ac:dyDescent="0.25">
      <c r="A413" s="39" t="s">
        <v>698</v>
      </c>
      <c r="B413" s="46" t="s">
        <v>271</v>
      </c>
      <c r="C413" s="39" t="s">
        <v>678</v>
      </c>
      <c r="D413" s="72">
        <v>221364716</v>
      </c>
      <c r="E413" s="73">
        <v>2521389906</v>
      </c>
      <c r="F413" s="39" t="s">
        <v>256</v>
      </c>
      <c r="G413" s="49">
        <v>37899</v>
      </c>
      <c r="H413" s="50" t="str">
        <f t="shared" si="12"/>
        <v>Oct</v>
      </c>
      <c r="I413" s="51">
        <f t="shared" ca="1" si="13"/>
        <v>13</v>
      </c>
      <c r="J413" s="52" t="s">
        <v>257</v>
      </c>
      <c r="K413" s="53">
        <v>86180</v>
      </c>
      <c r="L413" s="54">
        <v>2</v>
      </c>
      <c r="M413" s="55"/>
    </row>
    <row r="414" spans="1:13" x14ac:dyDescent="0.25">
      <c r="A414" s="39" t="s">
        <v>699</v>
      </c>
      <c r="B414" s="46" t="s">
        <v>245</v>
      </c>
      <c r="C414" s="39" t="s">
        <v>700</v>
      </c>
      <c r="D414" s="72">
        <v>252582122</v>
      </c>
      <c r="E414" s="73">
        <v>9197764351</v>
      </c>
      <c r="F414" s="39" t="s">
        <v>247</v>
      </c>
      <c r="G414" s="49">
        <v>36452</v>
      </c>
      <c r="H414" s="50" t="str">
        <f t="shared" si="12"/>
        <v>Oct</v>
      </c>
      <c r="I414" s="51">
        <f t="shared" ca="1" si="13"/>
        <v>17</v>
      </c>
      <c r="J414" s="52"/>
      <c r="K414" s="53">
        <v>30140</v>
      </c>
      <c r="L414" s="54">
        <v>2</v>
      </c>
      <c r="M414" s="55"/>
    </row>
    <row r="415" spans="1:13" x14ac:dyDescent="0.25">
      <c r="A415" s="39" t="s">
        <v>701</v>
      </c>
      <c r="B415" s="46" t="s">
        <v>285</v>
      </c>
      <c r="C415" s="39" t="s">
        <v>700</v>
      </c>
      <c r="D415" s="72">
        <v>974912089</v>
      </c>
      <c r="E415" s="73">
        <v>9192601200</v>
      </c>
      <c r="F415" s="39" t="s">
        <v>256</v>
      </c>
      <c r="G415" s="49">
        <v>35815</v>
      </c>
      <c r="H415" s="50" t="str">
        <f t="shared" si="12"/>
        <v>Jan</v>
      </c>
      <c r="I415" s="51">
        <f t="shared" ca="1" si="13"/>
        <v>18</v>
      </c>
      <c r="J415" s="52" t="s">
        <v>257</v>
      </c>
      <c r="K415" s="53">
        <v>75830</v>
      </c>
      <c r="L415" s="54">
        <v>1</v>
      </c>
      <c r="M415" s="55"/>
    </row>
    <row r="416" spans="1:13" x14ac:dyDescent="0.25">
      <c r="A416" s="39" t="s">
        <v>702</v>
      </c>
      <c r="B416" s="46" t="s">
        <v>245</v>
      </c>
      <c r="C416" s="39" t="s">
        <v>700</v>
      </c>
      <c r="D416" s="72">
        <v>425943144</v>
      </c>
      <c r="E416" s="73">
        <v>2522911046</v>
      </c>
      <c r="F416" s="39" t="s">
        <v>247</v>
      </c>
      <c r="G416" s="49">
        <v>35409</v>
      </c>
      <c r="H416" s="50" t="str">
        <f t="shared" si="12"/>
        <v>Dec</v>
      </c>
      <c r="I416" s="51">
        <f t="shared" ca="1" si="13"/>
        <v>19</v>
      </c>
      <c r="J416" s="52"/>
      <c r="K416" s="53">
        <v>86040</v>
      </c>
      <c r="L416" s="54">
        <v>2</v>
      </c>
      <c r="M416" s="55"/>
    </row>
    <row r="417" spans="1:13" x14ac:dyDescent="0.25">
      <c r="A417" s="39" t="s">
        <v>703</v>
      </c>
      <c r="B417" s="46" t="s">
        <v>271</v>
      </c>
      <c r="C417" s="39" t="s">
        <v>700</v>
      </c>
      <c r="D417" s="72">
        <v>121688720</v>
      </c>
      <c r="E417" s="73">
        <v>9194794769</v>
      </c>
      <c r="F417" s="39" t="s">
        <v>247</v>
      </c>
      <c r="G417" s="49">
        <v>36568</v>
      </c>
      <c r="H417" s="50" t="str">
        <f t="shared" si="12"/>
        <v>Feb</v>
      </c>
      <c r="I417" s="51">
        <f t="shared" ca="1" si="13"/>
        <v>16</v>
      </c>
      <c r="J417" s="52"/>
      <c r="K417" s="53">
        <v>53780</v>
      </c>
      <c r="L417" s="54">
        <v>4</v>
      </c>
      <c r="M417" s="55"/>
    </row>
    <row r="418" spans="1:13" x14ac:dyDescent="0.25">
      <c r="A418" s="39" t="s">
        <v>704</v>
      </c>
      <c r="B418" s="46" t="s">
        <v>271</v>
      </c>
      <c r="C418" s="39" t="s">
        <v>705</v>
      </c>
      <c r="D418" s="72">
        <v>290385638</v>
      </c>
      <c r="E418" s="73">
        <v>9194518022</v>
      </c>
      <c r="F418" s="39" t="s">
        <v>261</v>
      </c>
      <c r="G418" s="49">
        <v>34503</v>
      </c>
      <c r="H418" s="50" t="str">
        <f t="shared" si="12"/>
        <v>Jun</v>
      </c>
      <c r="I418" s="51">
        <f t="shared" ca="1" si="13"/>
        <v>22</v>
      </c>
      <c r="J418" s="52" t="s">
        <v>262</v>
      </c>
      <c r="K418" s="53">
        <v>42050</v>
      </c>
      <c r="L418" s="54">
        <v>4</v>
      </c>
      <c r="M418" s="55"/>
    </row>
    <row r="419" spans="1:13" x14ac:dyDescent="0.25">
      <c r="A419" s="39" t="s">
        <v>706</v>
      </c>
      <c r="B419" s="46" t="s">
        <v>266</v>
      </c>
      <c r="C419" s="39" t="s">
        <v>705</v>
      </c>
      <c r="D419" s="72">
        <v>851400058</v>
      </c>
      <c r="E419" s="73">
        <v>9196012031</v>
      </c>
      <c r="F419" s="39" t="s">
        <v>261</v>
      </c>
      <c r="G419" s="49">
        <v>41394</v>
      </c>
      <c r="H419" s="50" t="str">
        <f t="shared" si="12"/>
        <v>Apr</v>
      </c>
      <c r="I419" s="51">
        <f t="shared" ca="1" si="13"/>
        <v>3</v>
      </c>
      <c r="J419" s="52" t="s">
        <v>257</v>
      </c>
      <c r="K419" s="53">
        <v>20310</v>
      </c>
      <c r="L419" s="54">
        <v>1</v>
      </c>
      <c r="M419" s="55"/>
    </row>
    <row r="420" spans="1:13" x14ac:dyDescent="0.25">
      <c r="A420" s="39" t="s">
        <v>707</v>
      </c>
      <c r="B420" s="46" t="s">
        <v>280</v>
      </c>
      <c r="C420" s="39" t="s">
        <v>705</v>
      </c>
      <c r="D420" s="72">
        <v>542214575</v>
      </c>
      <c r="E420" s="73">
        <v>2522172913</v>
      </c>
      <c r="F420" s="39" t="s">
        <v>256</v>
      </c>
      <c r="G420" s="49">
        <v>35703</v>
      </c>
      <c r="H420" s="50" t="str">
        <f t="shared" si="12"/>
        <v>Sep</v>
      </c>
      <c r="I420" s="51">
        <f t="shared" ca="1" si="13"/>
        <v>19</v>
      </c>
      <c r="J420" s="52" t="s">
        <v>257</v>
      </c>
      <c r="K420" s="53">
        <v>104440</v>
      </c>
      <c r="L420" s="54">
        <v>3</v>
      </c>
      <c r="M420" s="55"/>
    </row>
    <row r="421" spans="1:13" x14ac:dyDescent="0.25">
      <c r="A421" s="39" t="s">
        <v>708</v>
      </c>
      <c r="B421" s="46" t="s">
        <v>271</v>
      </c>
      <c r="C421" s="39" t="s">
        <v>705</v>
      </c>
      <c r="D421" s="72">
        <v>272714784</v>
      </c>
      <c r="E421" s="73">
        <v>9191162663</v>
      </c>
      <c r="F421" s="39" t="s">
        <v>252</v>
      </c>
      <c r="G421" s="49">
        <v>38712</v>
      </c>
      <c r="H421" s="50" t="str">
        <f t="shared" si="12"/>
        <v>Dec</v>
      </c>
      <c r="I421" s="51">
        <f t="shared" ca="1" si="13"/>
        <v>10</v>
      </c>
      <c r="J421" s="52"/>
      <c r="K421" s="53">
        <v>25980</v>
      </c>
      <c r="L421" s="54">
        <v>2</v>
      </c>
      <c r="M421" s="55"/>
    </row>
    <row r="422" spans="1:13" x14ac:dyDescent="0.25">
      <c r="A422" s="39" t="s">
        <v>709</v>
      </c>
      <c r="B422" s="46" t="s">
        <v>245</v>
      </c>
      <c r="C422" s="39" t="s">
        <v>705</v>
      </c>
      <c r="D422" s="72">
        <v>972791650</v>
      </c>
      <c r="E422" s="73">
        <v>2525236892</v>
      </c>
      <c r="F422" s="39" t="s">
        <v>261</v>
      </c>
      <c r="G422" s="49">
        <v>38471</v>
      </c>
      <c r="H422" s="50" t="str">
        <f t="shared" si="12"/>
        <v>Apr</v>
      </c>
      <c r="I422" s="51">
        <f t="shared" ca="1" si="13"/>
        <v>11</v>
      </c>
      <c r="J422" s="52" t="s">
        <v>257</v>
      </c>
      <c r="K422" s="53">
        <v>40570</v>
      </c>
      <c r="L422" s="54">
        <v>5</v>
      </c>
      <c r="M422" s="55"/>
    </row>
    <row r="423" spans="1:13" x14ac:dyDescent="0.25">
      <c r="A423" s="39" t="s">
        <v>710</v>
      </c>
      <c r="B423" s="46" t="s">
        <v>251</v>
      </c>
      <c r="C423" s="39" t="s">
        <v>705</v>
      </c>
      <c r="D423" s="72">
        <v>551132018</v>
      </c>
      <c r="E423" s="73">
        <v>2525796953</v>
      </c>
      <c r="F423" s="39" t="s">
        <v>256</v>
      </c>
      <c r="G423" s="49">
        <v>41371</v>
      </c>
      <c r="H423" s="50" t="str">
        <f t="shared" si="12"/>
        <v>Apr</v>
      </c>
      <c r="I423" s="51">
        <f t="shared" ca="1" si="13"/>
        <v>3</v>
      </c>
      <c r="J423" s="52" t="s">
        <v>257</v>
      </c>
      <c r="K423" s="53">
        <v>80210</v>
      </c>
      <c r="L423" s="54">
        <v>4</v>
      </c>
      <c r="M423" s="55"/>
    </row>
    <row r="424" spans="1:13" x14ac:dyDescent="0.25">
      <c r="A424" s="39" t="s">
        <v>711</v>
      </c>
      <c r="B424" s="46" t="s">
        <v>271</v>
      </c>
      <c r="C424" s="39" t="s">
        <v>705</v>
      </c>
      <c r="D424" s="72">
        <v>972086665</v>
      </c>
      <c r="E424" s="73">
        <v>2526007063</v>
      </c>
      <c r="F424" s="39" t="s">
        <v>256</v>
      </c>
      <c r="G424" s="49">
        <v>39228</v>
      </c>
      <c r="H424" s="50" t="str">
        <f t="shared" si="12"/>
        <v>May</v>
      </c>
      <c r="I424" s="51">
        <f t="shared" ca="1" si="13"/>
        <v>9</v>
      </c>
      <c r="J424" s="52" t="s">
        <v>283</v>
      </c>
      <c r="K424" s="53">
        <v>103440</v>
      </c>
      <c r="L424" s="54">
        <v>3</v>
      </c>
      <c r="M424" s="55"/>
    </row>
    <row r="425" spans="1:13" x14ac:dyDescent="0.25">
      <c r="A425" s="39" t="s">
        <v>712</v>
      </c>
      <c r="B425" s="46" t="s">
        <v>271</v>
      </c>
      <c r="C425" s="39" t="s">
        <v>705</v>
      </c>
      <c r="D425" s="72">
        <v>948252103</v>
      </c>
      <c r="E425" s="73">
        <v>9197430732</v>
      </c>
      <c r="F425" s="39" t="s">
        <v>252</v>
      </c>
      <c r="G425" s="49">
        <v>37330</v>
      </c>
      <c r="H425" s="50" t="str">
        <f t="shared" si="12"/>
        <v>Mar</v>
      </c>
      <c r="I425" s="51">
        <f t="shared" ca="1" si="13"/>
        <v>14</v>
      </c>
      <c r="J425" s="52"/>
      <c r="K425" s="53">
        <v>47720</v>
      </c>
      <c r="L425" s="54">
        <v>1</v>
      </c>
      <c r="M425" s="55"/>
    </row>
    <row r="426" spans="1:13" x14ac:dyDescent="0.25">
      <c r="A426" s="39" t="s">
        <v>713</v>
      </c>
      <c r="B426" s="46" t="s">
        <v>245</v>
      </c>
      <c r="C426" s="39" t="s">
        <v>705</v>
      </c>
      <c r="D426" s="72">
        <v>869524136</v>
      </c>
      <c r="E426" s="73">
        <v>9193640748</v>
      </c>
      <c r="F426" s="39" t="s">
        <v>256</v>
      </c>
      <c r="G426" s="49">
        <v>36340</v>
      </c>
      <c r="H426" s="50" t="str">
        <f t="shared" si="12"/>
        <v>Jun</v>
      </c>
      <c r="I426" s="51">
        <f t="shared" ca="1" si="13"/>
        <v>17</v>
      </c>
      <c r="J426" s="52" t="s">
        <v>283</v>
      </c>
      <c r="K426" s="53">
        <v>52090</v>
      </c>
      <c r="L426" s="54">
        <v>1</v>
      </c>
      <c r="M426" s="55"/>
    </row>
    <row r="427" spans="1:13" x14ac:dyDescent="0.25">
      <c r="A427" s="39" t="s">
        <v>714</v>
      </c>
      <c r="B427" s="46" t="s">
        <v>280</v>
      </c>
      <c r="C427" s="39" t="s">
        <v>705</v>
      </c>
      <c r="D427" s="72">
        <v>213741822</v>
      </c>
      <c r="E427" s="73">
        <v>2521780498</v>
      </c>
      <c r="F427" s="39" t="s">
        <v>247</v>
      </c>
      <c r="G427" s="49">
        <v>36922</v>
      </c>
      <c r="H427" s="50" t="str">
        <f t="shared" si="12"/>
        <v>Jan</v>
      </c>
      <c r="I427" s="51">
        <f t="shared" ca="1" si="13"/>
        <v>15</v>
      </c>
      <c r="J427" s="52"/>
      <c r="K427" s="53">
        <v>76000</v>
      </c>
      <c r="L427" s="54">
        <v>4</v>
      </c>
      <c r="M427" s="55"/>
    </row>
    <row r="428" spans="1:13" x14ac:dyDescent="0.25">
      <c r="A428" s="39" t="s">
        <v>715</v>
      </c>
      <c r="B428" s="46" t="s">
        <v>245</v>
      </c>
      <c r="C428" s="39" t="s">
        <v>705</v>
      </c>
      <c r="D428" s="72">
        <v>724193735</v>
      </c>
      <c r="E428" s="73">
        <v>2528627048</v>
      </c>
      <c r="F428" s="39" t="s">
        <v>256</v>
      </c>
      <c r="G428" s="49">
        <v>34621</v>
      </c>
      <c r="H428" s="50" t="str">
        <f t="shared" si="12"/>
        <v>Oct</v>
      </c>
      <c r="I428" s="51">
        <f t="shared" ca="1" si="13"/>
        <v>22</v>
      </c>
      <c r="J428" s="52" t="s">
        <v>283</v>
      </c>
      <c r="K428" s="53">
        <v>51830</v>
      </c>
      <c r="L428" s="54">
        <v>2</v>
      </c>
      <c r="M428" s="55"/>
    </row>
    <row r="429" spans="1:13" x14ac:dyDescent="0.25">
      <c r="A429" s="39" t="s">
        <v>716</v>
      </c>
      <c r="B429" s="46" t="s">
        <v>251</v>
      </c>
      <c r="C429" s="39" t="s">
        <v>705</v>
      </c>
      <c r="D429" s="72">
        <v>761337848</v>
      </c>
      <c r="E429" s="73">
        <v>9193967339</v>
      </c>
      <c r="F429" s="39" t="s">
        <v>247</v>
      </c>
      <c r="G429" s="49">
        <v>35503</v>
      </c>
      <c r="H429" s="50" t="str">
        <f t="shared" si="12"/>
        <v>Mar</v>
      </c>
      <c r="I429" s="51">
        <f t="shared" ca="1" si="13"/>
        <v>19</v>
      </c>
      <c r="J429" s="52"/>
      <c r="K429" s="53">
        <v>80050</v>
      </c>
      <c r="L429" s="54">
        <v>2</v>
      </c>
      <c r="M429" s="55"/>
    </row>
    <row r="430" spans="1:13" x14ac:dyDescent="0.25">
      <c r="A430" s="39" t="s">
        <v>717</v>
      </c>
      <c r="B430" s="46" t="s">
        <v>285</v>
      </c>
      <c r="C430" s="39" t="s">
        <v>705</v>
      </c>
      <c r="D430" s="72">
        <v>365499498</v>
      </c>
      <c r="E430" s="73">
        <v>2523575849</v>
      </c>
      <c r="F430" s="39" t="s">
        <v>256</v>
      </c>
      <c r="G430" s="49">
        <v>39808</v>
      </c>
      <c r="H430" s="50" t="str">
        <f t="shared" si="12"/>
        <v>Dec</v>
      </c>
      <c r="I430" s="51">
        <f t="shared" ca="1" si="13"/>
        <v>7</v>
      </c>
      <c r="J430" s="52" t="s">
        <v>257</v>
      </c>
      <c r="K430" s="53">
        <v>56470</v>
      </c>
      <c r="L430" s="54">
        <v>4</v>
      </c>
      <c r="M430" s="55"/>
    </row>
    <row r="431" spans="1:13" x14ac:dyDescent="0.25">
      <c r="A431" s="39" t="s">
        <v>718</v>
      </c>
      <c r="B431" s="46" t="s">
        <v>285</v>
      </c>
      <c r="C431" s="39" t="s">
        <v>705</v>
      </c>
      <c r="D431" s="72">
        <v>248820119</v>
      </c>
      <c r="E431" s="73">
        <v>2521711684</v>
      </c>
      <c r="F431" s="39" t="s">
        <v>256</v>
      </c>
      <c r="G431" s="49">
        <v>36904</v>
      </c>
      <c r="H431" s="50" t="str">
        <f t="shared" si="12"/>
        <v>Jan</v>
      </c>
      <c r="I431" s="51">
        <f t="shared" ca="1" si="13"/>
        <v>15</v>
      </c>
      <c r="J431" s="52" t="s">
        <v>257</v>
      </c>
      <c r="K431" s="53">
        <v>82220</v>
      </c>
      <c r="L431" s="54">
        <v>5</v>
      </c>
      <c r="M431" s="55"/>
    </row>
    <row r="432" spans="1:13" x14ac:dyDescent="0.25">
      <c r="A432" s="39" t="s">
        <v>719</v>
      </c>
      <c r="B432" s="46" t="s">
        <v>251</v>
      </c>
      <c r="C432" s="39" t="s">
        <v>705</v>
      </c>
      <c r="D432" s="72">
        <v>711445298</v>
      </c>
      <c r="E432" s="73">
        <v>2528359862</v>
      </c>
      <c r="F432" s="39" t="s">
        <v>247</v>
      </c>
      <c r="G432" s="49">
        <v>41621</v>
      </c>
      <c r="H432" s="50" t="str">
        <f t="shared" si="12"/>
        <v>Dec</v>
      </c>
      <c r="I432" s="51">
        <f t="shared" ca="1" si="13"/>
        <v>2</v>
      </c>
      <c r="J432" s="52"/>
      <c r="K432" s="53">
        <v>101160</v>
      </c>
      <c r="L432" s="54">
        <v>1</v>
      </c>
      <c r="M432" s="55"/>
    </row>
    <row r="433" spans="1:13" x14ac:dyDescent="0.25">
      <c r="A433" s="39" t="s">
        <v>720</v>
      </c>
      <c r="B433" s="46" t="s">
        <v>280</v>
      </c>
      <c r="C433" s="39" t="s">
        <v>705</v>
      </c>
      <c r="D433" s="72">
        <v>291803431</v>
      </c>
      <c r="E433" s="73">
        <v>2525866679</v>
      </c>
      <c r="F433" s="39" t="s">
        <v>247</v>
      </c>
      <c r="G433" s="49">
        <v>40784</v>
      </c>
      <c r="H433" s="50" t="str">
        <f t="shared" si="12"/>
        <v>Aug</v>
      </c>
      <c r="I433" s="51">
        <f t="shared" ca="1" si="13"/>
        <v>5</v>
      </c>
      <c r="J433" s="52"/>
      <c r="K433" s="53">
        <v>64800</v>
      </c>
      <c r="L433" s="54">
        <v>3</v>
      </c>
      <c r="M433" s="55"/>
    </row>
    <row r="434" spans="1:13" x14ac:dyDescent="0.25">
      <c r="A434" s="39" t="s">
        <v>721</v>
      </c>
      <c r="B434" s="46" t="s">
        <v>251</v>
      </c>
      <c r="C434" s="39" t="s">
        <v>705</v>
      </c>
      <c r="D434" s="72">
        <v>120479503</v>
      </c>
      <c r="E434" s="73">
        <v>9196069116</v>
      </c>
      <c r="F434" s="39" t="s">
        <v>261</v>
      </c>
      <c r="G434" s="49">
        <v>40300</v>
      </c>
      <c r="H434" s="50" t="str">
        <f t="shared" si="12"/>
        <v>May</v>
      </c>
      <c r="I434" s="51">
        <f t="shared" ca="1" si="13"/>
        <v>6</v>
      </c>
      <c r="J434" s="52" t="s">
        <v>276</v>
      </c>
      <c r="K434" s="53">
        <v>57310</v>
      </c>
      <c r="L434" s="54">
        <v>3</v>
      </c>
      <c r="M434" s="55"/>
    </row>
    <row r="435" spans="1:13" x14ac:dyDescent="0.25">
      <c r="A435" s="39" t="s">
        <v>722</v>
      </c>
      <c r="B435" s="46" t="s">
        <v>285</v>
      </c>
      <c r="C435" s="39" t="s">
        <v>705</v>
      </c>
      <c r="D435" s="72">
        <v>555718765</v>
      </c>
      <c r="E435" s="73">
        <v>2524618773</v>
      </c>
      <c r="F435" s="39" t="s">
        <v>256</v>
      </c>
      <c r="G435" s="49">
        <v>35738</v>
      </c>
      <c r="H435" s="50" t="str">
        <f t="shared" si="12"/>
        <v>Nov</v>
      </c>
      <c r="I435" s="51">
        <f t="shared" ca="1" si="13"/>
        <v>19</v>
      </c>
      <c r="J435" s="52" t="s">
        <v>257</v>
      </c>
      <c r="K435" s="53">
        <v>106620</v>
      </c>
      <c r="L435" s="54">
        <v>3</v>
      </c>
      <c r="M435" s="55"/>
    </row>
    <row r="436" spans="1:13" x14ac:dyDescent="0.25">
      <c r="A436" s="39" t="s">
        <v>723</v>
      </c>
      <c r="B436" s="46" t="s">
        <v>285</v>
      </c>
      <c r="C436" s="39" t="s">
        <v>705</v>
      </c>
      <c r="D436" s="72">
        <v>619465100</v>
      </c>
      <c r="E436" s="73">
        <v>9194629606</v>
      </c>
      <c r="F436" s="39" t="s">
        <v>256</v>
      </c>
      <c r="G436" s="49">
        <v>39917</v>
      </c>
      <c r="H436" s="50" t="str">
        <f t="shared" si="12"/>
        <v>Apr</v>
      </c>
      <c r="I436" s="51">
        <f t="shared" ca="1" si="13"/>
        <v>7</v>
      </c>
      <c r="J436" s="52" t="s">
        <v>262</v>
      </c>
      <c r="K436" s="53">
        <v>33070</v>
      </c>
      <c r="L436" s="54">
        <v>2</v>
      </c>
      <c r="M436" s="55"/>
    </row>
    <row r="437" spans="1:13" x14ac:dyDescent="0.25">
      <c r="A437" s="39" t="s">
        <v>724</v>
      </c>
      <c r="B437" s="46" t="s">
        <v>271</v>
      </c>
      <c r="C437" s="39" t="s">
        <v>705</v>
      </c>
      <c r="D437" s="72">
        <v>816607187</v>
      </c>
      <c r="E437" s="73">
        <v>9195520461</v>
      </c>
      <c r="F437" s="39" t="s">
        <v>252</v>
      </c>
      <c r="G437" s="49">
        <v>41453</v>
      </c>
      <c r="H437" s="50" t="str">
        <f t="shared" si="12"/>
        <v>Jun</v>
      </c>
      <c r="I437" s="51">
        <f t="shared" ca="1" si="13"/>
        <v>3</v>
      </c>
      <c r="J437" s="52"/>
      <c r="K437" s="53">
        <v>11020</v>
      </c>
      <c r="L437" s="54">
        <v>3</v>
      </c>
      <c r="M437" s="55"/>
    </row>
    <row r="438" spans="1:13" x14ac:dyDescent="0.25">
      <c r="A438" s="39" t="s">
        <v>725</v>
      </c>
      <c r="B438" s="46" t="s">
        <v>285</v>
      </c>
      <c r="C438" s="39" t="s">
        <v>705</v>
      </c>
      <c r="D438" s="72">
        <v>959568761</v>
      </c>
      <c r="E438" s="73">
        <v>9194744493</v>
      </c>
      <c r="F438" s="39" t="s">
        <v>256</v>
      </c>
      <c r="G438" s="49">
        <v>34458</v>
      </c>
      <c r="H438" s="50" t="str">
        <f t="shared" si="12"/>
        <v>May</v>
      </c>
      <c r="I438" s="51">
        <f t="shared" ca="1" si="13"/>
        <v>22</v>
      </c>
      <c r="J438" s="52" t="s">
        <v>267</v>
      </c>
      <c r="K438" s="53">
        <v>73760</v>
      </c>
      <c r="L438" s="54">
        <v>5</v>
      </c>
      <c r="M438" s="55"/>
    </row>
    <row r="439" spans="1:13" x14ac:dyDescent="0.25">
      <c r="A439" s="39" t="s">
        <v>726</v>
      </c>
      <c r="B439" s="46" t="s">
        <v>285</v>
      </c>
      <c r="C439" s="39" t="s">
        <v>705</v>
      </c>
      <c r="D439" s="72">
        <v>145240921</v>
      </c>
      <c r="E439" s="73">
        <v>2525227751</v>
      </c>
      <c r="F439" s="39" t="s">
        <v>256</v>
      </c>
      <c r="G439" s="49">
        <v>40405</v>
      </c>
      <c r="H439" s="50" t="str">
        <f t="shared" si="12"/>
        <v>Aug</v>
      </c>
      <c r="I439" s="51">
        <f t="shared" ca="1" si="13"/>
        <v>6</v>
      </c>
      <c r="J439" s="52" t="s">
        <v>267</v>
      </c>
      <c r="K439" s="53">
        <v>61190</v>
      </c>
      <c r="L439" s="54">
        <v>4</v>
      </c>
      <c r="M439" s="55"/>
    </row>
    <row r="440" spans="1:13" x14ac:dyDescent="0.25">
      <c r="A440" s="39" t="s">
        <v>727</v>
      </c>
      <c r="B440" s="46" t="s">
        <v>271</v>
      </c>
      <c r="C440" s="39" t="s">
        <v>705</v>
      </c>
      <c r="D440" s="72">
        <v>803776506</v>
      </c>
      <c r="E440" s="73">
        <v>2526920236</v>
      </c>
      <c r="F440" s="39" t="s">
        <v>256</v>
      </c>
      <c r="G440" s="49">
        <v>36413</v>
      </c>
      <c r="H440" s="50" t="str">
        <f t="shared" si="12"/>
        <v>Sep</v>
      </c>
      <c r="I440" s="51">
        <f t="shared" ca="1" si="13"/>
        <v>17</v>
      </c>
      <c r="J440" s="52" t="s">
        <v>262</v>
      </c>
      <c r="K440" s="53">
        <v>93540</v>
      </c>
      <c r="L440" s="54">
        <v>4</v>
      </c>
      <c r="M440" s="55"/>
    </row>
    <row r="441" spans="1:13" x14ac:dyDescent="0.25">
      <c r="A441" s="39" t="s">
        <v>728</v>
      </c>
      <c r="B441" s="46" t="s">
        <v>266</v>
      </c>
      <c r="C441" s="39" t="s">
        <v>705</v>
      </c>
      <c r="D441" s="72">
        <v>297806507</v>
      </c>
      <c r="E441" s="73">
        <v>9197312659</v>
      </c>
      <c r="F441" s="39" t="s">
        <v>256</v>
      </c>
      <c r="G441" s="49">
        <v>35741</v>
      </c>
      <c r="H441" s="50" t="str">
        <f t="shared" si="12"/>
        <v>Nov</v>
      </c>
      <c r="I441" s="51">
        <f t="shared" ca="1" si="13"/>
        <v>19</v>
      </c>
      <c r="J441" s="52" t="s">
        <v>267</v>
      </c>
      <c r="K441" s="53">
        <v>93410</v>
      </c>
      <c r="L441" s="54">
        <v>2</v>
      </c>
      <c r="M441" s="55"/>
    </row>
    <row r="442" spans="1:13" x14ac:dyDescent="0.25">
      <c r="A442" s="39" t="s">
        <v>729</v>
      </c>
      <c r="B442" s="46" t="s">
        <v>245</v>
      </c>
      <c r="C442" s="39" t="s">
        <v>705</v>
      </c>
      <c r="D442" s="72">
        <v>847051774</v>
      </c>
      <c r="E442" s="73">
        <v>2522881600</v>
      </c>
      <c r="F442" s="39" t="s">
        <v>256</v>
      </c>
      <c r="G442" s="49">
        <v>40658</v>
      </c>
      <c r="H442" s="50" t="str">
        <f t="shared" si="12"/>
        <v>Apr</v>
      </c>
      <c r="I442" s="51">
        <f t="shared" ca="1" si="13"/>
        <v>5</v>
      </c>
      <c r="J442" s="52" t="s">
        <v>276</v>
      </c>
      <c r="K442" s="53">
        <v>97060</v>
      </c>
      <c r="L442" s="54">
        <v>1</v>
      </c>
      <c r="M442" s="55"/>
    </row>
    <row r="443" spans="1:13" x14ac:dyDescent="0.25">
      <c r="A443" s="39" t="s">
        <v>730</v>
      </c>
      <c r="B443" s="46" t="s">
        <v>271</v>
      </c>
      <c r="C443" s="39" t="s">
        <v>705</v>
      </c>
      <c r="D443" s="72">
        <v>931977751</v>
      </c>
      <c r="E443" s="73">
        <v>9194471952</v>
      </c>
      <c r="F443" s="39" t="s">
        <v>256</v>
      </c>
      <c r="G443" s="49">
        <v>35902</v>
      </c>
      <c r="H443" s="50" t="str">
        <f t="shared" si="12"/>
        <v>Apr</v>
      </c>
      <c r="I443" s="51">
        <f t="shared" ca="1" si="13"/>
        <v>18</v>
      </c>
      <c r="J443" s="52" t="s">
        <v>257</v>
      </c>
      <c r="K443" s="53">
        <v>31000</v>
      </c>
      <c r="L443" s="54">
        <v>5</v>
      </c>
      <c r="M443" s="55"/>
    </row>
    <row r="444" spans="1:13" x14ac:dyDescent="0.25">
      <c r="A444" s="39" t="s">
        <v>731</v>
      </c>
      <c r="B444" s="46" t="s">
        <v>285</v>
      </c>
      <c r="C444" s="39" t="s">
        <v>705</v>
      </c>
      <c r="D444" s="72">
        <v>489013842</v>
      </c>
      <c r="E444" s="73">
        <v>2521658481</v>
      </c>
      <c r="F444" s="39" t="s">
        <v>261</v>
      </c>
      <c r="G444" s="49">
        <v>37696</v>
      </c>
      <c r="H444" s="50" t="str">
        <f t="shared" si="12"/>
        <v>Mar</v>
      </c>
      <c r="I444" s="51">
        <f t="shared" ca="1" si="13"/>
        <v>13</v>
      </c>
      <c r="J444" s="52" t="s">
        <v>283</v>
      </c>
      <c r="K444" s="53">
        <v>34810</v>
      </c>
      <c r="L444" s="54">
        <v>1</v>
      </c>
      <c r="M444" s="55"/>
    </row>
    <row r="445" spans="1:13" x14ac:dyDescent="0.25">
      <c r="A445" s="39" t="s">
        <v>732</v>
      </c>
      <c r="B445" s="46" t="s">
        <v>266</v>
      </c>
      <c r="C445" s="39" t="s">
        <v>705</v>
      </c>
      <c r="D445" s="72">
        <v>443238477</v>
      </c>
      <c r="E445" s="73">
        <v>9198624601</v>
      </c>
      <c r="F445" s="39" t="s">
        <v>256</v>
      </c>
      <c r="G445" s="49">
        <v>40679</v>
      </c>
      <c r="H445" s="50" t="str">
        <f t="shared" si="12"/>
        <v>May</v>
      </c>
      <c r="I445" s="51">
        <f t="shared" ca="1" si="13"/>
        <v>5</v>
      </c>
      <c r="J445" s="52" t="s">
        <v>283</v>
      </c>
      <c r="K445" s="53">
        <v>96110</v>
      </c>
      <c r="L445" s="54">
        <v>2</v>
      </c>
      <c r="M445" s="55"/>
    </row>
    <row r="446" spans="1:13" x14ac:dyDescent="0.25">
      <c r="A446" s="39" t="s">
        <v>733</v>
      </c>
      <c r="B446" s="46" t="s">
        <v>285</v>
      </c>
      <c r="C446" s="39" t="s">
        <v>705</v>
      </c>
      <c r="D446" s="72">
        <v>868128171</v>
      </c>
      <c r="E446" s="73">
        <v>2525048978</v>
      </c>
      <c r="F446" s="39" t="s">
        <v>256</v>
      </c>
      <c r="G446" s="49">
        <v>34879</v>
      </c>
      <c r="H446" s="50" t="str">
        <f t="shared" si="12"/>
        <v>Jun</v>
      </c>
      <c r="I446" s="51">
        <f t="shared" ca="1" si="13"/>
        <v>21</v>
      </c>
      <c r="J446" s="52" t="s">
        <v>276</v>
      </c>
      <c r="K446" s="53">
        <v>90440</v>
      </c>
      <c r="L446" s="54">
        <v>2</v>
      </c>
      <c r="M446" s="55"/>
    </row>
    <row r="447" spans="1:13" x14ac:dyDescent="0.25">
      <c r="A447" s="39" t="s">
        <v>734</v>
      </c>
      <c r="B447" s="46" t="s">
        <v>251</v>
      </c>
      <c r="C447" s="39" t="s">
        <v>705</v>
      </c>
      <c r="D447" s="72">
        <v>302854692</v>
      </c>
      <c r="E447" s="73">
        <v>2528651774</v>
      </c>
      <c r="F447" s="39" t="s">
        <v>261</v>
      </c>
      <c r="G447" s="49">
        <v>35618</v>
      </c>
      <c r="H447" s="50" t="str">
        <f t="shared" si="12"/>
        <v>Jul</v>
      </c>
      <c r="I447" s="51">
        <f t="shared" ca="1" si="13"/>
        <v>19</v>
      </c>
      <c r="J447" s="52" t="s">
        <v>257</v>
      </c>
      <c r="K447" s="53">
        <v>16120</v>
      </c>
      <c r="L447" s="54">
        <v>1</v>
      </c>
      <c r="M447" s="55"/>
    </row>
    <row r="448" spans="1:13" x14ac:dyDescent="0.25">
      <c r="A448" s="39" t="s">
        <v>735</v>
      </c>
      <c r="B448" s="46" t="s">
        <v>271</v>
      </c>
      <c r="C448" s="39" t="s">
        <v>705</v>
      </c>
      <c r="D448" s="72">
        <v>960967007</v>
      </c>
      <c r="E448" s="73">
        <v>9194694995</v>
      </c>
      <c r="F448" s="39" t="s">
        <v>247</v>
      </c>
      <c r="G448" s="49">
        <v>37624</v>
      </c>
      <c r="H448" s="50" t="str">
        <f t="shared" si="12"/>
        <v>Jan</v>
      </c>
      <c r="I448" s="51">
        <f t="shared" ca="1" si="13"/>
        <v>13</v>
      </c>
      <c r="J448" s="52"/>
      <c r="K448" s="53">
        <v>36360</v>
      </c>
      <c r="L448" s="54">
        <v>1</v>
      </c>
      <c r="M448" s="55"/>
    </row>
    <row r="449" spans="1:13" x14ac:dyDescent="0.25">
      <c r="A449" s="39" t="s">
        <v>736</v>
      </c>
      <c r="B449" s="46" t="s">
        <v>271</v>
      </c>
      <c r="C449" s="39" t="s">
        <v>705</v>
      </c>
      <c r="D449" s="72">
        <v>150132247</v>
      </c>
      <c r="E449" s="73">
        <v>9198561612</v>
      </c>
      <c r="F449" s="39" t="s">
        <v>256</v>
      </c>
      <c r="G449" s="49">
        <v>34882</v>
      </c>
      <c r="H449" s="50" t="str">
        <f t="shared" si="12"/>
        <v>Jul</v>
      </c>
      <c r="I449" s="51">
        <f t="shared" ca="1" si="13"/>
        <v>21</v>
      </c>
      <c r="J449" s="52" t="s">
        <v>276</v>
      </c>
      <c r="K449" s="53">
        <v>56290</v>
      </c>
      <c r="L449" s="54">
        <v>3</v>
      </c>
      <c r="M449" s="55"/>
    </row>
    <row r="450" spans="1:13" x14ac:dyDescent="0.25">
      <c r="A450" s="39" t="s">
        <v>737</v>
      </c>
      <c r="B450" s="46" t="s">
        <v>245</v>
      </c>
      <c r="C450" s="39" t="s">
        <v>705</v>
      </c>
      <c r="D450" s="72">
        <v>294130565</v>
      </c>
      <c r="E450" s="73">
        <v>9193744359</v>
      </c>
      <c r="F450" s="39" t="s">
        <v>256</v>
      </c>
      <c r="G450" s="49">
        <v>34637</v>
      </c>
      <c r="H450" s="50" t="str">
        <f t="shared" ref="H450:H513" si="14">CHOOSE(MONTH(G450),"Jan","Feb","Mar","Apr","May","Jun","Jul","Aug","Sep","Oct","Nov","Dec")</f>
        <v>Oct</v>
      </c>
      <c r="I450" s="51">
        <f t="shared" ref="I450:I513" ca="1" si="15">DATEDIF(G450,TODAY(),"Y")</f>
        <v>22</v>
      </c>
      <c r="J450" s="52" t="s">
        <v>257</v>
      </c>
      <c r="K450" s="53">
        <v>31630</v>
      </c>
      <c r="L450" s="54">
        <v>1</v>
      </c>
      <c r="M450" s="55"/>
    </row>
    <row r="451" spans="1:13" x14ac:dyDescent="0.25">
      <c r="A451" s="39" t="s">
        <v>738</v>
      </c>
      <c r="B451" s="46" t="s">
        <v>285</v>
      </c>
      <c r="C451" s="39" t="s">
        <v>705</v>
      </c>
      <c r="D451" s="72">
        <v>842774592</v>
      </c>
      <c r="E451" s="73">
        <v>2527345539</v>
      </c>
      <c r="F451" s="39" t="s">
        <v>252</v>
      </c>
      <c r="G451" s="49">
        <v>39145</v>
      </c>
      <c r="H451" s="50" t="str">
        <f t="shared" si="14"/>
        <v>Mar</v>
      </c>
      <c r="I451" s="51">
        <f t="shared" ca="1" si="15"/>
        <v>9</v>
      </c>
      <c r="J451" s="52"/>
      <c r="K451" s="53">
        <v>40210</v>
      </c>
      <c r="L451" s="54">
        <v>4</v>
      </c>
      <c r="M451" s="55"/>
    </row>
    <row r="452" spans="1:13" x14ac:dyDescent="0.25">
      <c r="A452" s="39" t="s">
        <v>739</v>
      </c>
      <c r="B452" s="46" t="s">
        <v>271</v>
      </c>
      <c r="C452" s="39" t="s">
        <v>705</v>
      </c>
      <c r="D452" s="72">
        <v>839899522</v>
      </c>
      <c r="E452" s="73">
        <v>9195512521</v>
      </c>
      <c r="F452" s="39" t="s">
        <v>256</v>
      </c>
      <c r="G452" s="49">
        <v>36970</v>
      </c>
      <c r="H452" s="50" t="str">
        <f t="shared" si="14"/>
        <v>Mar</v>
      </c>
      <c r="I452" s="51">
        <f t="shared" ca="1" si="15"/>
        <v>15</v>
      </c>
      <c r="J452" s="52" t="s">
        <v>257</v>
      </c>
      <c r="K452" s="53">
        <v>89440</v>
      </c>
      <c r="L452" s="54">
        <v>5</v>
      </c>
      <c r="M452" s="55"/>
    </row>
    <row r="453" spans="1:13" x14ac:dyDescent="0.25">
      <c r="A453" s="39" t="s">
        <v>740</v>
      </c>
      <c r="B453" s="46" t="s">
        <v>280</v>
      </c>
      <c r="C453" s="39" t="s">
        <v>705</v>
      </c>
      <c r="D453" s="72">
        <v>577239513</v>
      </c>
      <c r="E453" s="73">
        <v>9193199265</v>
      </c>
      <c r="F453" s="39" t="s">
        <v>256</v>
      </c>
      <c r="G453" s="49">
        <v>36134</v>
      </c>
      <c r="H453" s="50" t="str">
        <f t="shared" si="14"/>
        <v>Dec</v>
      </c>
      <c r="I453" s="51">
        <f t="shared" ca="1" si="15"/>
        <v>17</v>
      </c>
      <c r="J453" s="52" t="s">
        <v>283</v>
      </c>
      <c r="K453" s="53">
        <v>75700</v>
      </c>
      <c r="L453" s="54">
        <v>5</v>
      </c>
      <c r="M453" s="55"/>
    </row>
    <row r="454" spans="1:13" x14ac:dyDescent="0.25">
      <c r="A454" s="39" t="s">
        <v>741</v>
      </c>
      <c r="B454" s="46" t="s">
        <v>245</v>
      </c>
      <c r="C454" s="39" t="s">
        <v>705</v>
      </c>
      <c r="D454" s="72">
        <v>623823805</v>
      </c>
      <c r="E454" s="73">
        <v>9192602559</v>
      </c>
      <c r="F454" s="39" t="s">
        <v>252</v>
      </c>
      <c r="G454" s="49">
        <v>41404</v>
      </c>
      <c r="H454" s="50" t="str">
        <f t="shared" si="14"/>
        <v>May</v>
      </c>
      <c r="I454" s="51">
        <f t="shared" ca="1" si="15"/>
        <v>3</v>
      </c>
      <c r="J454" s="52"/>
      <c r="K454" s="53">
        <v>18070</v>
      </c>
      <c r="L454" s="54">
        <v>5</v>
      </c>
      <c r="M454" s="55"/>
    </row>
    <row r="455" spans="1:13" x14ac:dyDescent="0.25">
      <c r="A455" s="39" t="s">
        <v>742</v>
      </c>
      <c r="B455" s="46" t="s">
        <v>271</v>
      </c>
      <c r="C455" s="39" t="s">
        <v>705</v>
      </c>
      <c r="D455" s="72">
        <v>934447306</v>
      </c>
      <c r="E455" s="73">
        <v>2525981242</v>
      </c>
      <c r="F455" s="39" t="s">
        <v>256</v>
      </c>
      <c r="G455" s="49">
        <v>35112</v>
      </c>
      <c r="H455" s="50" t="str">
        <f t="shared" si="14"/>
        <v>Feb</v>
      </c>
      <c r="I455" s="51">
        <f t="shared" ca="1" si="15"/>
        <v>20</v>
      </c>
      <c r="J455" s="52" t="s">
        <v>283</v>
      </c>
      <c r="K455" s="53">
        <v>87640</v>
      </c>
      <c r="L455" s="54">
        <v>5</v>
      </c>
      <c r="M455" s="55"/>
    </row>
    <row r="456" spans="1:13" x14ac:dyDescent="0.25">
      <c r="A456" s="39" t="s">
        <v>743</v>
      </c>
      <c r="B456" s="46" t="s">
        <v>285</v>
      </c>
      <c r="C456" s="39" t="s">
        <v>705</v>
      </c>
      <c r="D456" s="72">
        <v>474117484</v>
      </c>
      <c r="E456" s="73">
        <v>9196132408</v>
      </c>
      <c r="F456" s="39" t="s">
        <v>256</v>
      </c>
      <c r="G456" s="49">
        <v>34643</v>
      </c>
      <c r="H456" s="50" t="str">
        <f t="shared" si="14"/>
        <v>Nov</v>
      </c>
      <c r="I456" s="51">
        <f t="shared" ca="1" si="15"/>
        <v>22</v>
      </c>
      <c r="J456" s="52" t="s">
        <v>257</v>
      </c>
      <c r="K456" s="53">
        <v>95720</v>
      </c>
      <c r="L456" s="54">
        <v>4</v>
      </c>
      <c r="M456" s="55"/>
    </row>
    <row r="457" spans="1:13" x14ac:dyDescent="0.25">
      <c r="A457" s="39" t="s">
        <v>744</v>
      </c>
      <c r="B457" s="46" t="s">
        <v>285</v>
      </c>
      <c r="C457" s="39" t="s">
        <v>705</v>
      </c>
      <c r="D457" s="72">
        <v>881242432</v>
      </c>
      <c r="E457" s="73">
        <v>9193957018</v>
      </c>
      <c r="F457" s="39" t="s">
        <v>256</v>
      </c>
      <c r="G457" s="49">
        <v>34929</v>
      </c>
      <c r="H457" s="50" t="str">
        <f t="shared" si="14"/>
        <v>Aug</v>
      </c>
      <c r="I457" s="51">
        <f t="shared" ca="1" si="15"/>
        <v>21</v>
      </c>
      <c r="J457" s="52" t="s">
        <v>262</v>
      </c>
      <c r="K457" s="53">
        <v>81610</v>
      </c>
      <c r="L457" s="54">
        <v>1</v>
      </c>
      <c r="M457" s="55"/>
    </row>
    <row r="458" spans="1:13" x14ac:dyDescent="0.25">
      <c r="A458" s="39" t="s">
        <v>745</v>
      </c>
      <c r="B458" s="46" t="s">
        <v>251</v>
      </c>
      <c r="C458" s="39" t="s">
        <v>705</v>
      </c>
      <c r="D458" s="72">
        <v>719165738</v>
      </c>
      <c r="E458" s="73">
        <v>9195750692</v>
      </c>
      <c r="F458" s="39" t="s">
        <v>247</v>
      </c>
      <c r="G458" s="49">
        <v>41469</v>
      </c>
      <c r="H458" s="50" t="str">
        <f t="shared" si="14"/>
        <v>Jul</v>
      </c>
      <c r="I458" s="51">
        <f t="shared" ca="1" si="15"/>
        <v>3</v>
      </c>
      <c r="J458" s="52"/>
      <c r="K458" s="53">
        <v>47330</v>
      </c>
      <c r="L458" s="54">
        <v>4</v>
      </c>
      <c r="M458" s="55"/>
    </row>
    <row r="459" spans="1:13" x14ac:dyDescent="0.25">
      <c r="A459" s="39" t="s">
        <v>746</v>
      </c>
      <c r="B459" s="46" t="s">
        <v>285</v>
      </c>
      <c r="C459" s="39" t="s">
        <v>705</v>
      </c>
      <c r="D459" s="72">
        <v>210173249</v>
      </c>
      <c r="E459" s="73">
        <v>2525780571</v>
      </c>
      <c r="F459" s="39" t="s">
        <v>247</v>
      </c>
      <c r="G459" s="49">
        <v>34812</v>
      </c>
      <c r="H459" s="50" t="str">
        <f t="shared" si="14"/>
        <v>Apr</v>
      </c>
      <c r="I459" s="51">
        <f t="shared" ca="1" si="15"/>
        <v>21</v>
      </c>
      <c r="J459" s="52"/>
      <c r="K459" s="53">
        <v>39180</v>
      </c>
      <c r="L459" s="54">
        <v>1</v>
      </c>
      <c r="M459" s="55"/>
    </row>
    <row r="460" spans="1:13" x14ac:dyDescent="0.25">
      <c r="A460" s="39" t="s">
        <v>747</v>
      </c>
      <c r="B460" s="46" t="s">
        <v>271</v>
      </c>
      <c r="C460" s="39" t="s">
        <v>705</v>
      </c>
      <c r="D460" s="72">
        <v>617795992</v>
      </c>
      <c r="E460" s="73">
        <v>2526345909</v>
      </c>
      <c r="F460" s="39" t="s">
        <v>256</v>
      </c>
      <c r="G460" s="49">
        <v>34579</v>
      </c>
      <c r="H460" s="50" t="str">
        <f t="shared" si="14"/>
        <v>Sep</v>
      </c>
      <c r="I460" s="51">
        <f t="shared" ca="1" si="15"/>
        <v>22</v>
      </c>
      <c r="J460" s="52" t="s">
        <v>257</v>
      </c>
      <c r="K460" s="53">
        <v>52300</v>
      </c>
      <c r="L460" s="54">
        <v>5</v>
      </c>
      <c r="M460" s="55"/>
    </row>
    <row r="461" spans="1:13" x14ac:dyDescent="0.25">
      <c r="A461" s="39" t="s">
        <v>748</v>
      </c>
      <c r="B461" s="46" t="s">
        <v>285</v>
      </c>
      <c r="C461" s="39" t="s">
        <v>705</v>
      </c>
      <c r="D461" s="72">
        <v>824046378</v>
      </c>
      <c r="E461" s="73">
        <v>9196335284</v>
      </c>
      <c r="F461" s="39" t="s">
        <v>256</v>
      </c>
      <c r="G461" s="49">
        <v>36380</v>
      </c>
      <c r="H461" s="50" t="str">
        <f t="shared" si="14"/>
        <v>Aug</v>
      </c>
      <c r="I461" s="51">
        <f t="shared" ca="1" si="15"/>
        <v>17</v>
      </c>
      <c r="J461" s="52" t="s">
        <v>276</v>
      </c>
      <c r="K461" s="53">
        <v>80680</v>
      </c>
      <c r="L461" s="54">
        <v>4</v>
      </c>
      <c r="M461" s="55"/>
    </row>
    <row r="462" spans="1:13" x14ac:dyDescent="0.25">
      <c r="A462" s="39" t="s">
        <v>749</v>
      </c>
      <c r="B462" s="46" t="s">
        <v>266</v>
      </c>
      <c r="C462" s="39" t="s">
        <v>750</v>
      </c>
      <c r="D462" s="72">
        <v>834061135</v>
      </c>
      <c r="E462" s="73">
        <v>9198472270</v>
      </c>
      <c r="F462" s="39" t="s">
        <v>256</v>
      </c>
      <c r="G462" s="49">
        <v>34514</v>
      </c>
      <c r="H462" s="50" t="str">
        <f t="shared" si="14"/>
        <v>Jun</v>
      </c>
      <c r="I462" s="51">
        <f t="shared" ca="1" si="15"/>
        <v>22</v>
      </c>
      <c r="J462" s="52" t="s">
        <v>267</v>
      </c>
      <c r="K462" s="53">
        <v>53470</v>
      </c>
      <c r="L462" s="54">
        <v>2</v>
      </c>
      <c r="M462" s="55"/>
    </row>
    <row r="463" spans="1:13" x14ac:dyDescent="0.25">
      <c r="A463" s="39" t="s">
        <v>751</v>
      </c>
      <c r="B463" s="46" t="s">
        <v>285</v>
      </c>
      <c r="C463" s="39" t="s">
        <v>750</v>
      </c>
      <c r="D463" s="72">
        <v>198564686</v>
      </c>
      <c r="E463" s="78">
        <v>2523355100</v>
      </c>
      <c r="F463" s="39" t="s">
        <v>256</v>
      </c>
      <c r="G463" s="49">
        <v>34247</v>
      </c>
      <c r="H463" s="50" t="str">
        <f t="shared" si="14"/>
        <v>Oct</v>
      </c>
      <c r="I463" s="51">
        <f t="shared" ca="1" si="15"/>
        <v>23</v>
      </c>
      <c r="J463" s="52" t="s">
        <v>257</v>
      </c>
      <c r="K463" s="53">
        <v>86080</v>
      </c>
      <c r="L463" s="54">
        <v>1</v>
      </c>
      <c r="M463" s="55"/>
    </row>
    <row r="464" spans="1:13" x14ac:dyDescent="0.25">
      <c r="A464" s="39" t="s">
        <v>752</v>
      </c>
      <c r="B464" s="46" t="s">
        <v>271</v>
      </c>
      <c r="C464" s="39" t="s">
        <v>750</v>
      </c>
      <c r="D464" s="72">
        <v>763518183</v>
      </c>
      <c r="E464" s="73">
        <v>2522581491</v>
      </c>
      <c r="F464" s="39" t="s">
        <v>256</v>
      </c>
      <c r="G464" s="49">
        <v>34441</v>
      </c>
      <c r="H464" s="50" t="str">
        <f t="shared" si="14"/>
        <v>Apr</v>
      </c>
      <c r="I464" s="51">
        <f t="shared" ca="1" si="15"/>
        <v>22</v>
      </c>
      <c r="J464" s="52" t="s">
        <v>257</v>
      </c>
      <c r="K464" s="53">
        <v>83280</v>
      </c>
      <c r="L464" s="54">
        <v>5</v>
      </c>
      <c r="M464" s="55"/>
    </row>
    <row r="465" spans="1:13" x14ac:dyDescent="0.25">
      <c r="A465" s="39" t="s">
        <v>753</v>
      </c>
      <c r="B465" s="46" t="s">
        <v>285</v>
      </c>
      <c r="C465" s="39" t="s">
        <v>750</v>
      </c>
      <c r="D465" s="72">
        <v>285295419</v>
      </c>
      <c r="E465" s="73">
        <v>9197904981</v>
      </c>
      <c r="F465" s="39" t="s">
        <v>252</v>
      </c>
      <c r="G465" s="49">
        <v>34159</v>
      </c>
      <c r="H465" s="50" t="str">
        <f t="shared" si="14"/>
        <v>Jul</v>
      </c>
      <c r="I465" s="51">
        <f t="shared" ca="1" si="15"/>
        <v>23</v>
      </c>
      <c r="J465" s="52"/>
      <c r="K465" s="53">
        <v>39880</v>
      </c>
      <c r="L465" s="54">
        <v>4</v>
      </c>
      <c r="M465" s="55"/>
    </row>
    <row r="466" spans="1:13" x14ac:dyDescent="0.25">
      <c r="A466" s="39" t="s">
        <v>754</v>
      </c>
      <c r="B466" s="46" t="s">
        <v>285</v>
      </c>
      <c r="C466" s="39" t="s">
        <v>750</v>
      </c>
      <c r="D466" s="72">
        <v>852430023</v>
      </c>
      <c r="E466" s="73">
        <v>9195506190</v>
      </c>
      <c r="F466" s="39" t="s">
        <v>261</v>
      </c>
      <c r="G466" s="49">
        <v>34113</v>
      </c>
      <c r="H466" s="50" t="str">
        <f t="shared" si="14"/>
        <v>May</v>
      </c>
      <c r="I466" s="51">
        <f t="shared" ca="1" si="15"/>
        <v>23</v>
      </c>
      <c r="J466" s="52" t="s">
        <v>267</v>
      </c>
      <c r="K466" s="53">
        <v>29780</v>
      </c>
      <c r="L466" s="54">
        <v>1</v>
      </c>
      <c r="M466" s="55"/>
    </row>
    <row r="467" spans="1:13" x14ac:dyDescent="0.25">
      <c r="A467" s="39" t="s">
        <v>755</v>
      </c>
      <c r="B467" s="46" t="s">
        <v>285</v>
      </c>
      <c r="C467" s="39" t="s">
        <v>750</v>
      </c>
      <c r="D467" s="72">
        <v>174483231</v>
      </c>
      <c r="E467" s="73">
        <v>9196733291</v>
      </c>
      <c r="F467" s="39" t="s">
        <v>256</v>
      </c>
      <c r="G467" s="49">
        <v>34187</v>
      </c>
      <c r="H467" s="50" t="str">
        <f t="shared" si="14"/>
        <v>Aug</v>
      </c>
      <c r="I467" s="51">
        <f t="shared" ca="1" si="15"/>
        <v>23</v>
      </c>
      <c r="J467" s="52" t="s">
        <v>257</v>
      </c>
      <c r="K467" s="53">
        <v>49130</v>
      </c>
      <c r="L467" s="54">
        <v>3</v>
      </c>
      <c r="M467" s="55"/>
    </row>
    <row r="468" spans="1:13" x14ac:dyDescent="0.25">
      <c r="A468" s="39" t="s">
        <v>756</v>
      </c>
      <c r="B468" s="46" t="s">
        <v>271</v>
      </c>
      <c r="C468" s="39" t="s">
        <v>750</v>
      </c>
      <c r="D468" s="72">
        <v>444159297</v>
      </c>
      <c r="E468" s="73">
        <v>2522456406</v>
      </c>
      <c r="F468" s="39" t="s">
        <v>256</v>
      </c>
      <c r="G468" s="49">
        <v>34537</v>
      </c>
      <c r="H468" s="50" t="str">
        <f t="shared" si="14"/>
        <v>Jul</v>
      </c>
      <c r="I468" s="51">
        <f t="shared" ca="1" si="15"/>
        <v>22</v>
      </c>
      <c r="J468" s="52" t="s">
        <v>257</v>
      </c>
      <c r="K468" s="53">
        <v>97840</v>
      </c>
      <c r="L468" s="54">
        <v>5</v>
      </c>
      <c r="M468" s="55"/>
    </row>
    <row r="469" spans="1:13" x14ac:dyDescent="0.25">
      <c r="A469" s="39" t="s">
        <v>757</v>
      </c>
      <c r="B469" s="46" t="s">
        <v>285</v>
      </c>
      <c r="C469" s="39" t="s">
        <v>750</v>
      </c>
      <c r="D469" s="72">
        <v>292693795</v>
      </c>
      <c r="E469" s="73">
        <v>9195990139</v>
      </c>
      <c r="F469" s="39" t="s">
        <v>256</v>
      </c>
      <c r="G469" s="49">
        <v>34281</v>
      </c>
      <c r="H469" s="50" t="str">
        <f t="shared" si="14"/>
        <v>Nov</v>
      </c>
      <c r="I469" s="51">
        <f t="shared" ca="1" si="15"/>
        <v>23</v>
      </c>
      <c r="J469" s="52" t="s">
        <v>257</v>
      </c>
      <c r="K469" s="53">
        <v>105540</v>
      </c>
      <c r="L469" s="54">
        <v>4</v>
      </c>
      <c r="M469" s="55"/>
    </row>
    <row r="470" spans="1:13" x14ac:dyDescent="0.25">
      <c r="A470" s="39" t="s">
        <v>758</v>
      </c>
      <c r="B470" s="46" t="s">
        <v>245</v>
      </c>
      <c r="C470" s="39" t="s">
        <v>750</v>
      </c>
      <c r="D470" s="72">
        <v>360904659</v>
      </c>
      <c r="E470" s="73">
        <v>2523766803</v>
      </c>
      <c r="F470" s="39" t="s">
        <v>256</v>
      </c>
      <c r="G470" s="49">
        <v>34589</v>
      </c>
      <c r="H470" s="50" t="str">
        <f t="shared" si="14"/>
        <v>Sep</v>
      </c>
      <c r="I470" s="51">
        <f t="shared" ca="1" si="15"/>
        <v>22</v>
      </c>
      <c r="J470" s="52" t="s">
        <v>283</v>
      </c>
      <c r="K470" s="53">
        <v>53540</v>
      </c>
      <c r="L470" s="54">
        <v>5</v>
      </c>
      <c r="M470" s="55"/>
    </row>
    <row r="471" spans="1:13" x14ac:dyDescent="0.25">
      <c r="A471" s="39" t="s">
        <v>759</v>
      </c>
      <c r="B471" s="46" t="s">
        <v>271</v>
      </c>
      <c r="C471" s="39" t="s">
        <v>750</v>
      </c>
      <c r="D471" s="72">
        <v>967826310</v>
      </c>
      <c r="E471" s="73">
        <v>9196100410</v>
      </c>
      <c r="F471" s="39" t="s">
        <v>256</v>
      </c>
      <c r="G471" s="49">
        <v>34321</v>
      </c>
      <c r="H471" s="50" t="str">
        <f t="shared" si="14"/>
        <v>Dec</v>
      </c>
      <c r="I471" s="51">
        <f t="shared" ca="1" si="15"/>
        <v>22</v>
      </c>
      <c r="J471" s="52" t="s">
        <v>276</v>
      </c>
      <c r="K471" s="53">
        <v>42380</v>
      </c>
      <c r="L471" s="54">
        <v>3</v>
      </c>
      <c r="M471" s="55"/>
    </row>
    <row r="472" spans="1:13" x14ac:dyDescent="0.25">
      <c r="A472" s="39" t="s">
        <v>760</v>
      </c>
      <c r="B472" s="46" t="s">
        <v>266</v>
      </c>
      <c r="C472" s="39" t="s">
        <v>750</v>
      </c>
      <c r="D472" s="72">
        <v>710460589</v>
      </c>
      <c r="E472" s="73">
        <v>2526104400</v>
      </c>
      <c r="F472" s="39" t="s">
        <v>256</v>
      </c>
      <c r="G472" s="49">
        <v>34180</v>
      </c>
      <c r="H472" s="50" t="str">
        <f t="shared" si="14"/>
        <v>Jul</v>
      </c>
      <c r="I472" s="51">
        <f t="shared" ca="1" si="15"/>
        <v>23</v>
      </c>
      <c r="J472" s="52" t="s">
        <v>283</v>
      </c>
      <c r="K472" s="53">
        <v>51730</v>
      </c>
      <c r="L472" s="54">
        <v>2</v>
      </c>
      <c r="M472" s="55"/>
    </row>
    <row r="473" spans="1:13" x14ac:dyDescent="0.25">
      <c r="A473" s="39" t="s">
        <v>761</v>
      </c>
      <c r="B473" s="46" t="s">
        <v>285</v>
      </c>
      <c r="C473" s="39" t="s">
        <v>750</v>
      </c>
      <c r="D473" s="72">
        <v>219740602</v>
      </c>
      <c r="E473" s="73">
        <v>9197429525</v>
      </c>
      <c r="F473" s="39" t="s">
        <v>261</v>
      </c>
      <c r="G473" s="49">
        <v>34350</v>
      </c>
      <c r="H473" s="50" t="str">
        <f t="shared" si="14"/>
        <v>Jan</v>
      </c>
      <c r="I473" s="51">
        <f t="shared" ca="1" si="15"/>
        <v>22</v>
      </c>
      <c r="J473" s="52" t="s">
        <v>276</v>
      </c>
      <c r="K473" s="53">
        <v>19220</v>
      </c>
      <c r="L473" s="54">
        <v>3</v>
      </c>
      <c r="M473" s="55"/>
    </row>
    <row r="474" spans="1:13" x14ac:dyDescent="0.25">
      <c r="A474" s="39" t="s">
        <v>762</v>
      </c>
      <c r="B474" s="46" t="s">
        <v>271</v>
      </c>
      <c r="C474" s="39" t="s">
        <v>750</v>
      </c>
      <c r="D474" s="72">
        <v>134557291</v>
      </c>
      <c r="E474" s="73">
        <v>2525536623</v>
      </c>
      <c r="F474" s="39" t="s">
        <v>256</v>
      </c>
      <c r="G474" s="49">
        <v>34114</v>
      </c>
      <c r="H474" s="50" t="str">
        <f t="shared" si="14"/>
        <v>May</v>
      </c>
      <c r="I474" s="51">
        <f t="shared" ca="1" si="15"/>
        <v>23</v>
      </c>
      <c r="J474" s="52" t="s">
        <v>257</v>
      </c>
      <c r="K474" s="53">
        <v>39120</v>
      </c>
      <c r="L474" s="54">
        <v>5</v>
      </c>
      <c r="M474" s="55"/>
    </row>
    <row r="475" spans="1:13" x14ac:dyDescent="0.25">
      <c r="A475" s="39" t="s">
        <v>763</v>
      </c>
      <c r="B475" s="46" t="s">
        <v>245</v>
      </c>
      <c r="C475" s="39" t="s">
        <v>750</v>
      </c>
      <c r="D475" s="72">
        <v>671360508</v>
      </c>
      <c r="E475" s="73">
        <v>2528385730</v>
      </c>
      <c r="F475" s="39" t="s">
        <v>261</v>
      </c>
      <c r="G475" s="49">
        <v>34161</v>
      </c>
      <c r="H475" s="50" t="str">
        <f t="shared" si="14"/>
        <v>Jul</v>
      </c>
      <c r="I475" s="51">
        <f t="shared" ca="1" si="15"/>
        <v>23</v>
      </c>
      <c r="J475" s="52" t="s">
        <v>262</v>
      </c>
      <c r="K475" s="53">
        <v>47540</v>
      </c>
      <c r="L475" s="54">
        <v>5</v>
      </c>
      <c r="M475" s="55"/>
    </row>
    <row r="476" spans="1:13" x14ac:dyDescent="0.25">
      <c r="A476" s="39" t="s">
        <v>764</v>
      </c>
      <c r="B476" s="46" t="s">
        <v>271</v>
      </c>
      <c r="C476" s="39" t="s">
        <v>750</v>
      </c>
      <c r="D476" s="72">
        <v>904790184</v>
      </c>
      <c r="E476" s="73">
        <v>9191876990</v>
      </c>
      <c r="F476" s="39" t="s">
        <v>256</v>
      </c>
      <c r="G476" s="49">
        <v>34461</v>
      </c>
      <c r="H476" s="50" t="str">
        <f t="shared" si="14"/>
        <v>May</v>
      </c>
      <c r="I476" s="51">
        <f t="shared" ca="1" si="15"/>
        <v>22</v>
      </c>
      <c r="J476" s="52" t="s">
        <v>283</v>
      </c>
      <c r="K476" s="53">
        <v>93260</v>
      </c>
      <c r="L476" s="54">
        <v>3</v>
      </c>
      <c r="M476" s="55"/>
    </row>
    <row r="477" spans="1:13" x14ac:dyDescent="0.25">
      <c r="A477" s="39" t="s">
        <v>765</v>
      </c>
      <c r="B477" s="46" t="s">
        <v>251</v>
      </c>
      <c r="C477" s="39" t="s">
        <v>750</v>
      </c>
      <c r="D477" s="72">
        <v>264960848</v>
      </c>
      <c r="E477" s="73">
        <v>9195012757</v>
      </c>
      <c r="F477" s="39" t="s">
        <v>247</v>
      </c>
      <c r="G477" s="49">
        <v>34287</v>
      </c>
      <c r="H477" s="50" t="str">
        <f t="shared" si="14"/>
        <v>Nov</v>
      </c>
      <c r="I477" s="51">
        <f t="shared" ca="1" si="15"/>
        <v>23</v>
      </c>
      <c r="J477" s="52"/>
      <c r="K477" s="53">
        <v>58880</v>
      </c>
      <c r="L477" s="54">
        <v>3</v>
      </c>
      <c r="M477" s="55"/>
    </row>
    <row r="478" spans="1:13" x14ac:dyDescent="0.25">
      <c r="A478" s="39" t="s">
        <v>766</v>
      </c>
      <c r="B478" s="46" t="s">
        <v>266</v>
      </c>
      <c r="C478" s="39" t="s">
        <v>767</v>
      </c>
      <c r="D478" s="72">
        <v>239847790</v>
      </c>
      <c r="E478" s="73">
        <v>2524045531</v>
      </c>
      <c r="F478" s="39" t="s">
        <v>247</v>
      </c>
      <c r="G478" s="49">
        <v>37376</v>
      </c>
      <c r="H478" s="50" t="str">
        <f t="shared" si="14"/>
        <v>Apr</v>
      </c>
      <c r="I478" s="51">
        <f t="shared" ca="1" si="15"/>
        <v>14</v>
      </c>
      <c r="J478" s="52"/>
      <c r="K478" s="53">
        <v>85560</v>
      </c>
      <c r="L478" s="54">
        <v>5</v>
      </c>
      <c r="M478" s="55"/>
    </row>
    <row r="479" spans="1:13" x14ac:dyDescent="0.25">
      <c r="A479" s="39" t="s">
        <v>768</v>
      </c>
      <c r="B479" s="46" t="s">
        <v>285</v>
      </c>
      <c r="C479" s="39" t="s">
        <v>767</v>
      </c>
      <c r="D479" s="72">
        <v>699386024</v>
      </c>
      <c r="E479" s="73">
        <v>2525842116</v>
      </c>
      <c r="F479" s="39" t="s">
        <v>252</v>
      </c>
      <c r="G479" s="49">
        <v>37029</v>
      </c>
      <c r="H479" s="50" t="str">
        <f t="shared" si="14"/>
        <v>May</v>
      </c>
      <c r="I479" s="51">
        <f t="shared" ca="1" si="15"/>
        <v>15</v>
      </c>
      <c r="J479" s="52"/>
      <c r="K479" s="53">
        <v>20030</v>
      </c>
      <c r="L479" s="54">
        <v>3</v>
      </c>
      <c r="M479" s="55"/>
    </row>
    <row r="480" spans="1:13" x14ac:dyDescent="0.25">
      <c r="A480" s="39" t="s">
        <v>769</v>
      </c>
      <c r="B480" s="46" t="s">
        <v>285</v>
      </c>
      <c r="C480" s="39" t="s">
        <v>767</v>
      </c>
      <c r="D480" s="72">
        <v>449987941</v>
      </c>
      <c r="E480" s="73">
        <v>2528742282</v>
      </c>
      <c r="F480" s="39" t="s">
        <v>256</v>
      </c>
      <c r="G480" s="49">
        <v>41478</v>
      </c>
      <c r="H480" s="50" t="str">
        <f t="shared" si="14"/>
        <v>Jul</v>
      </c>
      <c r="I480" s="51">
        <f t="shared" ca="1" si="15"/>
        <v>3</v>
      </c>
      <c r="J480" s="52" t="s">
        <v>267</v>
      </c>
      <c r="K480" s="53">
        <v>75850</v>
      </c>
      <c r="L480" s="54">
        <v>1</v>
      </c>
      <c r="M480" s="55"/>
    </row>
    <row r="481" spans="1:17" x14ac:dyDescent="0.25">
      <c r="A481" s="39" t="s">
        <v>770</v>
      </c>
      <c r="B481" s="46" t="s">
        <v>285</v>
      </c>
      <c r="C481" s="39" t="s">
        <v>767</v>
      </c>
      <c r="D481" s="72">
        <v>945160038</v>
      </c>
      <c r="E481" s="73">
        <v>2527909707</v>
      </c>
      <c r="F481" s="39" t="s">
        <v>256</v>
      </c>
      <c r="G481" s="49">
        <v>38702</v>
      </c>
      <c r="H481" s="50" t="str">
        <f t="shared" si="14"/>
        <v>Dec</v>
      </c>
      <c r="I481" s="51">
        <f t="shared" ca="1" si="15"/>
        <v>10</v>
      </c>
      <c r="J481" s="52" t="s">
        <v>262</v>
      </c>
      <c r="K481" s="53">
        <v>28270</v>
      </c>
      <c r="L481" s="54">
        <v>3</v>
      </c>
      <c r="M481" s="55"/>
    </row>
    <row r="482" spans="1:17" x14ac:dyDescent="0.25">
      <c r="A482" s="39" t="s">
        <v>771</v>
      </c>
      <c r="B482" s="46" t="s">
        <v>271</v>
      </c>
      <c r="C482" s="39" t="s">
        <v>767</v>
      </c>
      <c r="D482" s="72">
        <v>313358310</v>
      </c>
      <c r="E482" s="73">
        <v>9195442791</v>
      </c>
      <c r="F482" s="39" t="s">
        <v>256</v>
      </c>
      <c r="G482" s="49">
        <v>35223</v>
      </c>
      <c r="H482" s="50" t="str">
        <f t="shared" si="14"/>
        <v>Jun</v>
      </c>
      <c r="I482" s="51">
        <f t="shared" ca="1" si="15"/>
        <v>20</v>
      </c>
      <c r="J482" s="52" t="s">
        <v>257</v>
      </c>
      <c r="K482" s="53">
        <v>75230</v>
      </c>
      <c r="L482" s="54">
        <v>2</v>
      </c>
      <c r="M482" s="55"/>
    </row>
    <row r="483" spans="1:17" x14ac:dyDescent="0.25">
      <c r="A483" s="39" t="s">
        <v>772</v>
      </c>
      <c r="B483" s="46" t="s">
        <v>271</v>
      </c>
      <c r="C483" s="39" t="s">
        <v>767</v>
      </c>
      <c r="D483" s="72">
        <v>558903229</v>
      </c>
      <c r="E483" s="73">
        <v>9195699651</v>
      </c>
      <c r="F483" s="39" t="s">
        <v>256</v>
      </c>
      <c r="G483" s="49">
        <v>35062</v>
      </c>
      <c r="H483" s="50" t="str">
        <f t="shared" si="14"/>
        <v>Dec</v>
      </c>
      <c r="I483" s="51">
        <f t="shared" ca="1" si="15"/>
        <v>20</v>
      </c>
      <c r="J483" s="52" t="s">
        <v>257</v>
      </c>
      <c r="K483" s="53">
        <v>27980</v>
      </c>
      <c r="L483" s="54">
        <v>4</v>
      </c>
      <c r="M483" s="55"/>
    </row>
    <row r="484" spans="1:17" x14ac:dyDescent="0.25">
      <c r="A484" s="39" t="s">
        <v>773</v>
      </c>
      <c r="B484" s="46" t="s">
        <v>245</v>
      </c>
      <c r="C484" s="39" t="s">
        <v>767</v>
      </c>
      <c r="D484" s="72">
        <v>991221095</v>
      </c>
      <c r="E484" s="73">
        <v>9194630903</v>
      </c>
      <c r="F484" s="39" t="s">
        <v>256</v>
      </c>
      <c r="G484" s="49">
        <v>36152</v>
      </c>
      <c r="H484" s="50" t="str">
        <f t="shared" si="14"/>
        <v>Dec</v>
      </c>
      <c r="I484" s="51">
        <f t="shared" ca="1" si="15"/>
        <v>17</v>
      </c>
      <c r="J484" s="52" t="s">
        <v>276</v>
      </c>
      <c r="K484" s="53">
        <v>35710</v>
      </c>
      <c r="L484" s="54">
        <v>2</v>
      </c>
      <c r="M484" s="55"/>
    </row>
    <row r="485" spans="1:17" x14ac:dyDescent="0.25">
      <c r="A485" s="39" t="s">
        <v>774</v>
      </c>
      <c r="B485" s="46" t="s">
        <v>271</v>
      </c>
      <c r="C485" s="39" t="s">
        <v>767</v>
      </c>
      <c r="D485" s="72">
        <v>214291610</v>
      </c>
      <c r="E485" s="73">
        <v>2523858464</v>
      </c>
      <c r="F485" s="39" t="s">
        <v>256</v>
      </c>
      <c r="G485" s="49">
        <v>36220</v>
      </c>
      <c r="H485" s="50" t="str">
        <f t="shared" si="14"/>
        <v>Mar</v>
      </c>
      <c r="I485" s="51">
        <f t="shared" ca="1" si="15"/>
        <v>17</v>
      </c>
      <c r="J485" s="52" t="s">
        <v>257</v>
      </c>
      <c r="K485" s="53">
        <v>56810</v>
      </c>
      <c r="L485" s="54">
        <v>2</v>
      </c>
      <c r="M485" s="55"/>
    </row>
    <row r="486" spans="1:17" x14ac:dyDescent="0.25">
      <c r="A486" s="39" t="s">
        <v>775</v>
      </c>
      <c r="B486" s="46" t="s">
        <v>245</v>
      </c>
      <c r="C486" s="39" t="s">
        <v>767</v>
      </c>
      <c r="D486" s="72">
        <v>525699951</v>
      </c>
      <c r="E486" s="73">
        <v>9198400261</v>
      </c>
      <c r="F486" s="39" t="s">
        <v>252</v>
      </c>
      <c r="G486" s="49">
        <v>36947</v>
      </c>
      <c r="H486" s="50" t="str">
        <f t="shared" si="14"/>
        <v>Feb</v>
      </c>
      <c r="I486" s="51">
        <f t="shared" ca="1" si="15"/>
        <v>15</v>
      </c>
      <c r="J486" s="52"/>
      <c r="K486" s="53">
        <v>17200</v>
      </c>
      <c r="L486" s="54">
        <v>5</v>
      </c>
      <c r="M486" s="55"/>
    </row>
    <row r="487" spans="1:17" x14ac:dyDescent="0.25">
      <c r="A487" s="39" t="s">
        <v>776</v>
      </c>
      <c r="B487" s="46" t="s">
        <v>245</v>
      </c>
      <c r="C487" s="39" t="s">
        <v>767</v>
      </c>
      <c r="D487" s="72">
        <v>106686151</v>
      </c>
      <c r="E487" s="73">
        <v>2521246633</v>
      </c>
      <c r="F487" s="39" t="s">
        <v>247</v>
      </c>
      <c r="G487" s="49">
        <v>37087</v>
      </c>
      <c r="H487" s="50" t="str">
        <f t="shared" si="14"/>
        <v>Jul</v>
      </c>
      <c r="I487" s="51">
        <f t="shared" ca="1" si="15"/>
        <v>15</v>
      </c>
      <c r="J487" s="52"/>
      <c r="K487" s="53">
        <v>57020</v>
      </c>
      <c r="L487" s="54">
        <v>1</v>
      </c>
      <c r="M487" s="55"/>
    </row>
    <row r="488" spans="1:17" x14ac:dyDescent="0.25">
      <c r="A488" s="39" t="s">
        <v>777</v>
      </c>
      <c r="B488" s="46" t="s">
        <v>271</v>
      </c>
      <c r="C488" s="39" t="s">
        <v>767</v>
      </c>
      <c r="D488" s="72">
        <v>728567428</v>
      </c>
      <c r="E488" s="73">
        <v>2521957923</v>
      </c>
      <c r="F488" s="39" t="s">
        <v>256</v>
      </c>
      <c r="G488" s="49">
        <v>41625</v>
      </c>
      <c r="H488" s="50" t="str">
        <f t="shared" si="14"/>
        <v>Dec</v>
      </c>
      <c r="I488" s="51">
        <f t="shared" ca="1" si="15"/>
        <v>2</v>
      </c>
      <c r="J488" s="52" t="s">
        <v>276</v>
      </c>
      <c r="K488" s="53">
        <v>103800</v>
      </c>
      <c r="L488" s="54">
        <v>1</v>
      </c>
      <c r="M488" s="55"/>
    </row>
    <row r="489" spans="1:17" x14ac:dyDescent="0.25">
      <c r="A489" s="39" t="s">
        <v>778</v>
      </c>
      <c r="B489" s="46" t="s">
        <v>271</v>
      </c>
      <c r="C489" s="39" t="s">
        <v>767</v>
      </c>
      <c r="D489" s="72">
        <v>924942231</v>
      </c>
      <c r="E489" s="73">
        <v>9193279828</v>
      </c>
      <c r="F489" s="39" t="s">
        <v>261</v>
      </c>
      <c r="G489" s="49">
        <v>41167</v>
      </c>
      <c r="H489" s="50" t="str">
        <f t="shared" si="14"/>
        <v>Sep</v>
      </c>
      <c r="I489" s="51">
        <f t="shared" ca="1" si="15"/>
        <v>4</v>
      </c>
      <c r="J489" s="52" t="s">
        <v>276</v>
      </c>
      <c r="K489" s="53">
        <v>30290</v>
      </c>
      <c r="L489" s="54">
        <v>5</v>
      </c>
      <c r="M489" s="55"/>
      <c r="P489" s="75"/>
      <c r="Q489" s="75"/>
    </row>
    <row r="490" spans="1:17" x14ac:dyDescent="0.25">
      <c r="A490" s="39" t="s">
        <v>779</v>
      </c>
      <c r="B490" s="46" t="s">
        <v>285</v>
      </c>
      <c r="C490" s="39" t="s">
        <v>767</v>
      </c>
      <c r="D490" s="72">
        <v>967035612</v>
      </c>
      <c r="E490" s="73">
        <v>2528842613</v>
      </c>
      <c r="F490" s="39" t="s">
        <v>256</v>
      </c>
      <c r="G490" s="49">
        <v>35150</v>
      </c>
      <c r="H490" s="50" t="str">
        <f t="shared" si="14"/>
        <v>Mar</v>
      </c>
      <c r="I490" s="51">
        <f t="shared" ca="1" si="15"/>
        <v>20</v>
      </c>
      <c r="J490" s="52" t="s">
        <v>276</v>
      </c>
      <c r="K490" s="53">
        <v>76130</v>
      </c>
      <c r="L490" s="54">
        <v>3</v>
      </c>
      <c r="M490" s="55"/>
    </row>
    <row r="491" spans="1:17" x14ac:dyDescent="0.25">
      <c r="A491" s="39" t="s">
        <v>780</v>
      </c>
      <c r="B491" s="46" t="s">
        <v>285</v>
      </c>
      <c r="C491" s="39" t="s">
        <v>767</v>
      </c>
      <c r="D491" s="72">
        <v>938723321</v>
      </c>
      <c r="E491" s="73">
        <v>9196456972</v>
      </c>
      <c r="F491" s="39" t="s">
        <v>247</v>
      </c>
      <c r="G491" s="49">
        <v>37788</v>
      </c>
      <c r="H491" s="50" t="str">
        <f t="shared" si="14"/>
        <v>Jun</v>
      </c>
      <c r="I491" s="51">
        <f t="shared" ca="1" si="15"/>
        <v>13</v>
      </c>
      <c r="J491" s="52"/>
      <c r="K491" s="53">
        <v>107570</v>
      </c>
      <c r="L491" s="54">
        <v>4</v>
      </c>
      <c r="M491" s="55"/>
    </row>
    <row r="492" spans="1:17" x14ac:dyDescent="0.25">
      <c r="A492" s="39" t="s">
        <v>781</v>
      </c>
      <c r="B492" s="46" t="s">
        <v>245</v>
      </c>
      <c r="C492" s="39" t="s">
        <v>767</v>
      </c>
      <c r="D492" s="72">
        <v>502200672</v>
      </c>
      <c r="E492" s="73">
        <v>2527925201</v>
      </c>
      <c r="F492" s="39" t="s">
        <v>247</v>
      </c>
      <c r="G492" s="49">
        <v>41411</v>
      </c>
      <c r="H492" s="50" t="str">
        <f t="shared" si="14"/>
        <v>May</v>
      </c>
      <c r="I492" s="51">
        <f t="shared" ca="1" si="15"/>
        <v>3</v>
      </c>
      <c r="J492" s="52"/>
      <c r="K492" s="53">
        <v>69220</v>
      </c>
      <c r="L492" s="54">
        <v>4</v>
      </c>
      <c r="M492" s="55"/>
    </row>
    <row r="493" spans="1:17" x14ac:dyDescent="0.25">
      <c r="A493" s="39" t="s">
        <v>782</v>
      </c>
      <c r="B493" s="46" t="s">
        <v>271</v>
      </c>
      <c r="C493" s="39" t="s">
        <v>767</v>
      </c>
      <c r="D493" s="72">
        <v>978154935</v>
      </c>
      <c r="E493" s="73">
        <v>2521384592</v>
      </c>
      <c r="F493" s="39" t="s">
        <v>256</v>
      </c>
      <c r="G493" s="49">
        <v>37196</v>
      </c>
      <c r="H493" s="50" t="str">
        <f t="shared" si="14"/>
        <v>Nov</v>
      </c>
      <c r="I493" s="51">
        <f t="shared" ca="1" si="15"/>
        <v>15</v>
      </c>
      <c r="J493" s="52" t="s">
        <v>267</v>
      </c>
      <c r="K493" s="53">
        <v>55630</v>
      </c>
      <c r="L493" s="54">
        <v>5</v>
      </c>
      <c r="M493" s="55"/>
    </row>
    <row r="494" spans="1:17" x14ac:dyDescent="0.25">
      <c r="A494" s="39" t="s">
        <v>783</v>
      </c>
      <c r="B494" s="46" t="s">
        <v>251</v>
      </c>
      <c r="C494" s="39" t="s">
        <v>767</v>
      </c>
      <c r="D494" s="72">
        <v>698472533</v>
      </c>
      <c r="E494" s="73">
        <v>9192917217</v>
      </c>
      <c r="F494" s="39" t="s">
        <v>247</v>
      </c>
      <c r="G494" s="49">
        <v>36700</v>
      </c>
      <c r="H494" s="50" t="str">
        <f t="shared" si="14"/>
        <v>Jun</v>
      </c>
      <c r="I494" s="51">
        <f t="shared" ca="1" si="15"/>
        <v>16</v>
      </c>
      <c r="J494" s="52"/>
      <c r="K494" s="53">
        <v>43480</v>
      </c>
      <c r="L494" s="54">
        <v>2</v>
      </c>
      <c r="M494" s="55"/>
    </row>
    <row r="495" spans="1:17" x14ac:dyDescent="0.25">
      <c r="A495" s="39" t="s">
        <v>784</v>
      </c>
      <c r="B495" s="46" t="s">
        <v>285</v>
      </c>
      <c r="C495" s="39" t="s">
        <v>767</v>
      </c>
      <c r="D495" s="72">
        <v>349174221</v>
      </c>
      <c r="E495" s="73">
        <v>2521220758</v>
      </c>
      <c r="F495" s="39" t="s">
        <v>261</v>
      </c>
      <c r="G495" s="49">
        <v>37085</v>
      </c>
      <c r="H495" s="50" t="str">
        <f t="shared" si="14"/>
        <v>Jul</v>
      </c>
      <c r="I495" s="51">
        <f t="shared" ca="1" si="15"/>
        <v>15</v>
      </c>
      <c r="J495" s="52" t="s">
        <v>262</v>
      </c>
      <c r="K495" s="53">
        <v>54900</v>
      </c>
      <c r="L495" s="54">
        <v>5</v>
      </c>
      <c r="M495" s="55"/>
    </row>
    <row r="496" spans="1:17" x14ac:dyDescent="0.25">
      <c r="A496" s="39" t="s">
        <v>785</v>
      </c>
      <c r="B496" s="46" t="s">
        <v>245</v>
      </c>
      <c r="C496" s="39" t="s">
        <v>767</v>
      </c>
      <c r="D496" s="72">
        <v>151277827</v>
      </c>
      <c r="E496" s="73">
        <v>9197179128</v>
      </c>
      <c r="F496" s="39" t="s">
        <v>256</v>
      </c>
      <c r="G496" s="49">
        <v>40900</v>
      </c>
      <c r="H496" s="50" t="str">
        <f t="shared" si="14"/>
        <v>Dec</v>
      </c>
      <c r="I496" s="51">
        <f t="shared" ca="1" si="15"/>
        <v>4</v>
      </c>
      <c r="J496" s="52" t="s">
        <v>257</v>
      </c>
      <c r="K496" s="53">
        <v>29750</v>
      </c>
      <c r="L496" s="54">
        <v>3</v>
      </c>
      <c r="M496" s="55"/>
    </row>
    <row r="497" spans="1:17" x14ac:dyDescent="0.25">
      <c r="A497" s="39" t="s">
        <v>786</v>
      </c>
      <c r="B497" s="46" t="s">
        <v>285</v>
      </c>
      <c r="C497" s="39" t="s">
        <v>767</v>
      </c>
      <c r="D497" s="72">
        <v>963000861</v>
      </c>
      <c r="E497" s="73">
        <v>2522792063</v>
      </c>
      <c r="F497" s="39" t="s">
        <v>247</v>
      </c>
      <c r="G497" s="49">
        <v>36147</v>
      </c>
      <c r="H497" s="50" t="str">
        <f t="shared" si="14"/>
        <v>Dec</v>
      </c>
      <c r="I497" s="51">
        <f t="shared" ca="1" si="15"/>
        <v>17</v>
      </c>
      <c r="J497" s="52"/>
      <c r="K497" s="53">
        <v>87830</v>
      </c>
      <c r="L497" s="54">
        <v>1</v>
      </c>
      <c r="M497" s="55"/>
    </row>
    <row r="498" spans="1:17" x14ac:dyDescent="0.25">
      <c r="A498" s="39" t="s">
        <v>787</v>
      </c>
      <c r="B498" s="46" t="s">
        <v>271</v>
      </c>
      <c r="C498" s="39" t="s">
        <v>767</v>
      </c>
      <c r="D498" s="72">
        <v>209846975</v>
      </c>
      <c r="E498" s="73">
        <v>2522639452</v>
      </c>
      <c r="F498" s="39" t="s">
        <v>261</v>
      </c>
      <c r="G498" s="49">
        <v>38250</v>
      </c>
      <c r="H498" s="50" t="str">
        <f t="shared" si="14"/>
        <v>Sep</v>
      </c>
      <c r="I498" s="51">
        <f t="shared" ca="1" si="15"/>
        <v>12</v>
      </c>
      <c r="J498" s="52" t="s">
        <v>276</v>
      </c>
      <c r="K498" s="53">
        <v>15050</v>
      </c>
      <c r="L498" s="54">
        <v>4</v>
      </c>
      <c r="M498" s="55"/>
      <c r="P498" s="75"/>
      <c r="Q498" s="75"/>
    </row>
    <row r="499" spans="1:17" x14ac:dyDescent="0.25">
      <c r="A499" s="39" t="s">
        <v>788</v>
      </c>
      <c r="B499" s="46" t="s">
        <v>285</v>
      </c>
      <c r="C499" s="39" t="s">
        <v>767</v>
      </c>
      <c r="D499" s="72">
        <v>953109212</v>
      </c>
      <c r="E499" s="73">
        <v>9191664940</v>
      </c>
      <c r="F499" s="39" t="s">
        <v>256</v>
      </c>
      <c r="G499" s="49">
        <v>41439</v>
      </c>
      <c r="H499" s="50" t="str">
        <f t="shared" si="14"/>
        <v>Jun</v>
      </c>
      <c r="I499" s="51">
        <f t="shared" ca="1" si="15"/>
        <v>3</v>
      </c>
      <c r="J499" s="52" t="s">
        <v>267</v>
      </c>
      <c r="K499" s="53">
        <v>70980</v>
      </c>
      <c r="L499" s="54">
        <v>4</v>
      </c>
      <c r="M499" s="55"/>
    </row>
    <row r="500" spans="1:17" x14ac:dyDescent="0.25">
      <c r="A500" s="39" t="s">
        <v>789</v>
      </c>
      <c r="B500" s="46" t="s">
        <v>251</v>
      </c>
      <c r="C500" s="39" t="s">
        <v>767</v>
      </c>
      <c r="D500" s="72">
        <v>265323292</v>
      </c>
      <c r="E500" s="73">
        <v>2522939413</v>
      </c>
      <c r="F500" s="39" t="s">
        <v>256</v>
      </c>
      <c r="G500" s="49">
        <v>37137</v>
      </c>
      <c r="H500" s="50" t="str">
        <f t="shared" si="14"/>
        <v>Sep</v>
      </c>
      <c r="I500" s="51">
        <f t="shared" ca="1" si="15"/>
        <v>15</v>
      </c>
      <c r="J500" s="52" t="s">
        <v>283</v>
      </c>
      <c r="K500" s="53">
        <v>54000</v>
      </c>
      <c r="L500" s="54">
        <v>4</v>
      </c>
      <c r="M500" s="55"/>
    </row>
    <row r="501" spans="1:17" x14ac:dyDescent="0.25">
      <c r="A501" s="39" t="s">
        <v>790</v>
      </c>
      <c r="B501" s="46" t="s">
        <v>266</v>
      </c>
      <c r="C501" s="39" t="s">
        <v>767</v>
      </c>
      <c r="D501" s="72">
        <v>868364739</v>
      </c>
      <c r="E501" s="73">
        <v>9195255121</v>
      </c>
      <c r="F501" s="39" t="s">
        <v>261</v>
      </c>
      <c r="G501" s="49">
        <v>41294</v>
      </c>
      <c r="H501" s="50" t="str">
        <f t="shared" si="14"/>
        <v>Jan</v>
      </c>
      <c r="I501" s="51">
        <f t="shared" ca="1" si="15"/>
        <v>3</v>
      </c>
      <c r="J501" s="52" t="s">
        <v>257</v>
      </c>
      <c r="K501" s="53">
        <v>14170</v>
      </c>
      <c r="L501" s="54">
        <v>1</v>
      </c>
      <c r="M501" s="55"/>
    </row>
    <row r="502" spans="1:17" x14ac:dyDescent="0.25">
      <c r="A502" s="39" t="s">
        <v>791</v>
      </c>
      <c r="B502" s="46" t="s">
        <v>285</v>
      </c>
      <c r="C502" s="39" t="s">
        <v>767</v>
      </c>
      <c r="D502" s="72">
        <v>528258211</v>
      </c>
      <c r="E502" s="73">
        <v>9194727385</v>
      </c>
      <c r="F502" s="39" t="s">
        <v>256</v>
      </c>
      <c r="G502" s="49">
        <v>34129</v>
      </c>
      <c r="H502" s="50" t="str">
        <f t="shared" si="14"/>
        <v>Jun</v>
      </c>
      <c r="I502" s="51">
        <f t="shared" ca="1" si="15"/>
        <v>23</v>
      </c>
      <c r="J502" s="52" t="s">
        <v>267</v>
      </c>
      <c r="K502" s="53">
        <v>55330</v>
      </c>
      <c r="L502" s="54">
        <v>4</v>
      </c>
      <c r="M502" s="55"/>
    </row>
    <row r="503" spans="1:17" x14ac:dyDescent="0.25">
      <c r="A503" s="39" t="s">
        <v>792</v>
      </c>
      <c r="B503" s="46" t="s">
        <v>245</v>
      </c>
      <c r="C503" s="39" t="s">
        <v>767</v>
      </c>
      <c r="D503" s="72">
        <v>217968415</v>
      </c>
      <c r="E503" s="73">
        <v>2522814530</v>
      </c>
      <c r="F503" s="39" t="s">
        <v>256</v>
      </c>
      <c r="G503" s="49">
        <v>36822</v>
      </c>
      <c r="H503" s="50" t="str">
        <f t="shared" si="14"/>
        <v>Oct</v>
      </c>
      <c r="I503" s="51">
        <f t="shared" ca="1" si="15"/>
        <v>16</v>
      </c>
      <c r="J503" s="52" t="s">
        <v>267</v>
      </c>
      <c r="K503" s="53">
        <v>27440</v>
      </c>
      <c r="L503" s="54">
        <v>3</v>
      </c>
      <c r="M503" s="55"/>
    </row>
    <row r="504" spans="1:17" x14ac:dyDescent="0.25">
      <c r="A504" s="39" t="s">
        <v>793</v>
      </c>
      <c r="B504" s="46" t="s">
        <v>245</v>
      </c>
      <c r="C504" s="39" t="s">
        <v>767</v>
      </c>
      <c r="D504" s="72">
        <v>808012612</v>
      </c>
      <c r="E504" s="73">
        <v>9193717553</v>
      </c>
      <c r="F504" s="39" t="s">
        <v>247</v>
      </c>
      <c r="G504" s="49">
        <v>34659</v>
      </c>
      <c r="H504" s="50" t="str">
        <f t="shared" si="14"/>
        <v>Nov</v>
      </c>
      <c r="I504" s="51">
        <f t="shared" ca="1" si="15"/>
        <v>21</v>
      </c>
      <c r="J504" s="52"/>
      <c r="K504" s="53">
        <v>72660</v>
      </c>
      <c r="L504" s="54">
        <v>2</v>
      </c>
      <c r="M504" s="55"/>
    </row>
    <row r="505" spans="1:17" x14ac:dyDescent="0.25">
      <c r="A505" s="39" t="s">
        <v>794</v>
      </c>
      <c r="B505" s="46" t="s">
        <v>245</v>
      </c>
      <c r="C505" s="39" t="s">
        <v>767</v>
      </c>
      <c r="D505" s="72">
        <v>452255054</v>
      </c>
      <c r="E505" s="73">
        <v>9196114005</v>
      </c>
      <c r="F505" s="39" t="s">
        <v>247</v>
      </c>
      <c r="G505" s="49">
        <v>34579</v>
      </c>
      <c r="H505" s="50" t="str">
        <f t="shared" si="14"/>
        <v>Sep</v>
      </c>
      <c r="I505" s="51">
        <f t="shared" ca="1" si="15"/>
        <v>22</v>
      </c>
      <c r="J505" s="52"/>
      <c r="K505" s="53">
        <v>61010</v>
      </c>
      <c r="L505" s="54">
        <v>4</v>
      </c>
      <c r="M505" s="55"/>
    </row>
    <row r="506" spans="1:17" x14ac:dyDescent="0.25">
      <c r="A506" s="39" t="s">
        <v>795</v>
      </c>
      <c r="B506" s="46" t="s">
        <v>285</v>
      </c>
      <c r="C506" s="39" t="s">
        <v>767</v>
      </c>
      <c r="D506" s="72">
        <v>965916299</v>
      </c>
      <c r="E506" s="73">
        <v>9193552027</v>
      </c>
      <c r="F506" s="39" t="s">
        <v>256</v>
      </c>
      <c r="G506" s="49">
        <v>36694</v>
      </c>
      <c r="H506" s="50" t="str">
        <f t="shared" si="14"/>
        <v>Jun</v>
      </c>
      <c r="I506" s="51">
        <f t="shared" ca="1" si="15"/>
        <v>16</v>
      </c>
      <c r="J506" s="52" t="s">
        <v>262</v>
      </c>
      <c r="K506" s="53">
        <v>29210</v>
      </c>
      <c r="L506" s="54">
        <v>4</v>
      </c>
      <c r="M506" s="55"/>
    </row>
    <row r="507" spans="1:17" x14ac:dyDescent="0.25">
      <c r="A507" s="39" t="s">
        <v>796</v>
      </c>
      <c r="B507" s="46" t="s">
        <v>271</v>
      </c>
      <c r="C507" s="39" t="s">
        <v>767</v>
      </c>
      <c r="D507" s="72">
        <v>561530671</v>
      </c>
      <c r="E507" s="73">
        <v>9192999652</v>
      </c>
      <c r="F507" s="39" t="s">
        <v>256</v>
      </c>
      <c r="G507" s="49">
        <v>34511</v>
      </c>
      <c r="H507" s="50" t="str">
        <f t="shared" si="14"/>
        <v>Jun</v>
      </c>
      <c r="I507" s="51">
        <f t="shared" ca="1" si="15"/>
        <v>22</v>
      </c>
      <c r="J507" s="52" t="s">
        <v>262</v>
      </c>
      <c r="K507" s="53">
        <v>65400</v>
      </c>
      <c r="L507" s="54">
        <v>5</v>
      </c>
      <c r="M507" s="55"/>
    </row>
    <row r="508" spans="1:17" x14ac:dyDescent="0.25">
      <c r="A508" s="39" t="s">
        <v>797</v>
      </c>
      <c r="B508" s="46" t="s">
        <v>285</v>
      </c>
      <c r="C508" s="39" t="s">
        <v>767</v>
      </c>
      <c r="D508" s="72">
        <v>302170290</v>
      </c>
      <c r="E508" s="73">
        <v>9191971988</v>
      </c>
      <c r="F508" s="39" t="s">
        <v>256</v>
      </c>
      <c r="G508" s="49">
        <v>36529</v>
      </c>
      <c r="H508" s="50" t="str">
        <f t="shared" si="14"/>
        <v>Jan</v>
      </c>
      <c r="I508" s="51">
        <f t="shared" ca="1" si="15"/>
        <v>16</v>
      </c>
      <c r="J508" s="52" t="s">
        <v>257</v>
      </c>
      <c r="K508" s="53">
        <v>75920</v>
      </c>
      <c r="L508" s="54">
        <v>1</v>
      </c>
      <c r="M508" s="55"/>
    </row>
    <row r="509" spans="1:17" x14ac:dyDescent="0.25">
      <c r="A509" s="39" t="s">
        <v>798</v>
      </c>
      <c r="B509" s="46" t="s">
        <v>245</v>
      </c>
      <c r="C509" s="39" t="s">
        <v>767</v>
      </c>
      <c r="D509" s="72">
        <v>643979374</v>
      </c>
      <c r="E509" s="73">
        <v>2521230519</v>
      </c>
      <c r="F509" s="39" t="s">
        <v>247</v>
      </c>
      <c r="G509" s="49">
        <v>36542</v>
      </c>
      <c r="H509" s="50" t="str">
        <f t="shared" si="14"/>
        <v>Jan</v>
      </c>
      <c r="I509" s="51">
        <f t="shared" ca="1" si="15"/>
        <v>16</v>
      </c>
      <c r="J509" s="52"/>
      <c r="K509" s="53">
        <v>59440</v>
      </c>
      <c r="L509" s="54">
        <v>4</v>
      </c>
      <c r="M509" s="55"/>
    </row>
    <row r="510" spans="1:17" x14ac:dyDescent="0.25">
      <c r="A510" s="39" t="s">
        <v>799</v>
      </c>
      <c r="B510" s="46" t="s">
        <v>245</v>
      </c>
      <c r="C510" s="39" t="s">
        <v>767</v>
      </c>
      <c r="D510" s="72">
        <v>433314045</v>
      </c>
      <c r="E510" s="73">
        <v>2522543210</v>
      </c>
      <c r="F510" s="39" t="s">
        <v>247</v>
      </c>
      <c r="G510" s="49">
        <v>34639</v>
      </c>
      <c r="H510" s="50" t="str">
        <f t="shared" si="14"/>
        <v>Nov</v>
      </c>
      <c r="I510" s="51">
        <f t="shared" ca="1" si="15"/>
        <v>22</v>
      </c>
      <c r="J510" s="52"/>
      <c r="K510" s="53">
        <v>57110</v>
      </c>
      <c r="L510" s="54">
        <v>3</v>
      </c>
      <c r="M510" s="55"/>
    </row>
    <row r="511" spans="1:17" x14ac:dyDescent="0.25">
      <c r="A511" s="39" t="s">
        <v>800</v>
      </c>
      <c r="B511" s="46" t="s">
        <v>266</v>
      </c>
      <c r="C511" s="39" t="s">
        <v>767</v>
      </c>
      <c r="D511" s="72">
        <v>920265140</v>
      </c>
      <c r="E511" s="73">
        <v>2524078104</v>
      </c>
      <c r="F511" s="39" t="s">
        <v>256</v>
      </c>
      <c r="G511" s="49">
        <v>39791</v>
      </c>
      <c r="H511" s="50" t="str">
        <f t="shared" si="14"/>
        <v>Dec</v>
      </c>
      <c r="I511" s="51">
        <f t="shared" ca="1" si="15"/>
        <v>7</v>
      </c>
      <c r="J511" s="52" t="s">
        <v>262</v>
      </c>
      <c r="K511" s="53">
        <v>75230</v>
      </c>
      <c r="L511" s="54">
        <v>3</v>
      </c>
      <c r="M511" s="55"/>
    </row>
    <row r="512" spans="1:17" x14ac:dyDescent="0.25">
      <c r="A512" s="39" t="s">
        <v>801</v>
      </c>
      <c r="B512" s="46" t="s">
        <v>271</v>
      </c>
      <c r="C512" s="39" t="s">
        <v>767</v>
      </c>
      <c r="D512" s="72">
        <v>554029540</v>
      </c>
      <c r="E512" s="73">
        <v>2521544288</v>
      </c>
      <c r="F512" s="39" t="s">
        <v>247</v>
      </c>
      <c r="G512" s="49">
        <v>34235</v>
      </c>
      <c r="H512" s="50" t="str">
        <f t="shared" si="14"/>
        <v>Sep</v>
      </c>
      <c r="I512" s="51">
        <f t="shared" ca="1" si="15"/>
        <v>23</v>
      </c>
      <c r="J512" s="52"/>
      <c r="K512" s="53">
        <v>70380</v>
      </c>
      <c r="L512" s="54">
        <v>4</v>
      </c>
      <c r="M512" s="55"/>
    </row>
    <row r="513" spans="1:13" x14ac:dyDescent="0.25">
      <c r="A513" s="39" t="s">
        <v>802</v>
      </c>
      <c r="B513" s="46" t="s">
        <v>280</v>
      </c>
      <c r="C513" s="39" t="s">
        <v>767</v>
      </c>
      <c r="D513" s="72">
        <v>445693854</v>
      </c>
      <c r="E513" s="73">
        <v>9192891217</v>
      </c>
      <c r="F513" s="39" t="s">
        <v>247</v>
      </c>
      <c r="G513" s="49">
        <v>35916</v>
      </c>
      <c r="H513" s="50" t="str">
        <f t="shared" si="14"/>
        <v>May</v>
      </c>
      <c r="I513" s="51">
        <f t="shared" ca="1" si="15"/>
        <v>18</v>
      </c>
      <c r="J513" s="52"/>
      <c r="K513" s="53">
        <v>92240</v>
      </c>
      <c r="L513" s="54">
        <v>5</v>
      </c>
      <c r="M513" s="55"/>
    </row>
    <row r="514" spans="1:13" x14ac:dyDescent="0.25">
      <c r="A514" s="39" t="s">
        <v>803</v>
      </c>
      <c r="B514" s="46" t="s">
        <v>280</v>
      </c>
      <c r="C514" s="39" t="s">
        <v>767</v>
      </c>
      <c r="D514" s="72">
        <v>451159170</v>
      </c>
      <c r="E514" s="73">
        <v>2522604602</v>
      </c>
      <c r="F514" s="39" t="s">
        <v>261</v>
      </c>
      <c r="G514" s="49">
        <v>36827</v>
      </c>
      <c r="H514" s="50" t="str">
        <f t="shared" ref="H514:H577" si="16">CHOOSE(MONTH(G514),"Jan","Feb","Mar","Apr","May","Jun","Jul","Aug","Sep","Oct","Nov","Dec")</f>
        <v>Oct</v>
      </c>
      <c r="I514" s="51">
        <f t="shared" ref="I514:I577" ca="1" si="17">DATEDIF(G514,TODAY(),"Y")</f>
        <v>16</v>
      </c>
      <c r="J514" s="52" t="s">
        <v>257</v>
      </c>
      <c r="K514" s="53">
        <v>37450</v>
      </c>
      <c r="L514" s="54">
        <v>2</v>
      </c>
      <c r="M514" s="55"/>
    </row>
    <row r="515" spans="1:13" x14ac:dyDescent="0.25">
      <c r="A515" s="39" t="s">
        <v>804</v>
      </c>
      <c r="B515" s="46" t="s">
        <v>271</v>
      </c>
      <c r="C515" s="39" t="s">
        <v>767</v>
      </c>
      <c r="D515" s="72">
        <v>494754997</v>
      </c>
      <c r="E515" s="73">
        <v>9195617115</v>
      </c>
      <c r="F515" s="39" t="s">
        <v>247</v>
      </c>
      <c r="G515" s="49">
        <v>35727</v>
      </c>
      <c r="H515" s="50" t="str">
        <f t="shared" si="16"/>
        <v>Oct</v>
      </c>
      <c r="I515" s="51">
        <f t="shared" ca="1" si="17"/>
        <v>19</v>
      </c>
      <c r="J515" s="52"/>
      <c r="K515" s="53">
        <v>39740</v>
      </c>
      <c r="L515" s="54">
        <v>2</v>
      </c>
      <c r="M515" s="55"/>
    </row>
    <row r="516" spans="1:13" x14ac:dyDescent="0.25">
      <c r="A516" s="39" t="s">
        <v>805</v>
      </c>
      <c r="B516" s="46" t="s">
        <v>285</v>
      </c>
      <c r="C516" s="39" t="s">
        <v>767</v>
      </c>
      <c r="D516" s="72">
        <v>394876677</v>
      </c>
      <c r="E516" s="73">
        <v>2522551469</v>
      </c>
      <c r="F516" s="39" t="s">
        <v>256</v>
      </c>
      <c r="G516" s="49">
        <v>36617</v>
      </c>
      <c r="H516" s="50" t="str">
        <f t="shared" si="16"/>
        <v>Apr</v>
      </c>
      <c r="I516" s="51">
        <f t="shared" ca="1" si="17"/>
        <v>16</v>
      </c>
      <c r="J516" s="52" t="s">
        <v>283</v>
      </c>
      <c r="K516" s="53">
        <v>40870</v>
      </c>
      <c r="L516" s="54">
        <v>2</v>
      </c>
      <c r="M516" s="55"/>
    </row>
    <row r="517" spans="1:13" x14ac:dyDescent="0.25">
      <c r="A517" s="39" t="s">
        <v>806</v>
      </c>
      <c r="B517" s="46" t="s">
        <v>271</v>
      </c>
      <c r="C517" s="39" t="s">
        <v>767</v>
      </c>
      <c r="D517" s="72">
        <v>113252240</v>
      </c>
      <c r="E517" s="73">
        <v>2526712695</v>
      </c>
      <c r="F517" s="39" t="s">
        <v>256</v>
      </c>
      <c r="G517" s="49">
        <v>37537</v>
      </c>
      <c r="H517" s="50" t="str">
        <f t="shared" si="16"/>
        <v>Oct</v>
      </c>
      <c r="I517" s="51">
        <f t="shared" ca="1" si="17"/>
        <v>14</v>
      </c>
      <c r="J517" s="52" t="s">
        <v>257</v>
      </c>
      <c r="K517" s="53">
        <v>74880</v>
      </c>
      <c r="L517" s="54">
        <v>4</v>
      </c>
      <c r="M517" s="55"/>
    </row>
    <row r="518" spans="1:13" x14ac:dyDescent="0.25">
      <c r="A518" s="39" t="s">
        <v>807</v>
      </c>
      <c r="B518" s="46" t="s">
        <v>285</v>
      </c>
      <c r="C518" s="39" t="s">
        <v>767</v>
      </c>
      <c r="D518" s="72">
        <v>765512793</v>
      </c>
      <c r="E518" s="73">
        <v>9197686976</v>
      </c>
      <c r="F518" s="39" t="s">
        <v>256</v>
      </c>
      <c r="G518" s="49">
        <v>40865</v>
      </c>
      <c r="H518" s="50" t="str">
        <f t="shared" si="16"/>
        <v>Nov</v>
      </c>
      <c r="I518" s="51">
        <f t="shared" ca="1" si="17"/>
        <v>4</v>
      </c>
      <c r="J518" s="52" t="s">
        <v>257</v>
      </c>
      <c r="K518" s="53">
        <v>77180</v>
      </c>
      <c r="L518" s="54">
        <v>5</v>
      </c>
      <c r="M518" s="55"/>
    </row>
    <row r="519" spans="1:13" x14ac:dyDescent="0.25">
      <c r="A519" s="39" t="s">
        <v>808</v>
      </c>
      <c r="B519" s="46" t="s">
        <v>271</v>
      </c>
      <c r="C519" s="39" t="s">
        <v>767</v>
      </c>
      <c r="D519" s="72">
        <v>880747384</v>
      </c>
      <c r="E519" s="73">
        <v>9195220001</v>
      </c>
      <c r="F519" s="39" t="s">
        <v>256</v>
      </c>
      <c r="G519" s="49">
        <v>34527</v>
      </c>
      <c r="H519" s="50" t="str">
        <f t="shared" si="16"/>
        <v>Jul</v>
      </c>
      <c r="I519" s="51">
        <f t="shared" ca="1" si="17"/>
        <v>22</v>
      </c>
      <c r="J519" s="52" t="s">
        <v>267</v>
      </c>
      <c r="K519" s="53">
        <v>95280</v>
      </c>
      <c r="L519" s="54">
        <v>4</v>
      </c>
      <c r="M519" s="55"/>
    </row>
    <row r="520" spans="1:13" x14ac:dyDescent="0.25">
      <c r="A520" s="39" t="s">
        <v>809</v>
      </c>
      <c r="B520" s="46" t="s">
        <v>245</v>
      </c>
      <c r="C520" s="39" t="s">
        <v>767</v>
      </c>
      <c r="D520" s="72">
        <v>378882665</v>
      </c>
      <c r="E520" s="73">
        <v>2526079829</v>
      </c>
      <c r="F520" s="39" t="s">
        <v>261</v>
      </c>
      <c r="G520" s="49">
        <v>34672</v>
      </c>
      <c r="H520" s="50" t="str">
        <f t="shared" si="16"/>
        <v>Dec</v>
      </c>
      <c r="I520" s="51">
        <f t="shared" ca="1" si="17"/>
        <v>21</v>
      </c>
      <c r="J520" s="52" t="s">
        <v>257</v>
      </c>
      <c r="K520" s="53">
        <v>55660</v>
      </c>
      <c r="L520" s="54">
        <v>3</v>
      </c>
      <c r="M520" s="55"/>
    </row>
    <row r="521" spans="1:13" x14ac:dyDescent="0.25">
      <c r="A521" s="39" t="s">
        <v>810</v>
      </c>
      <c r="B521" s="46" t="s">
        <v>285</v>
      </c>
      <c r="C521" s="39" t="s">
        <v>767</v>
      </c>
      <c r="D521" s="72">
        <v>933883118</v>
      </c>
      <c r="E521" s="73">
        <v>2523294956</v>
      </c>
      <c r="F521" s="39" t="s">
        <v>247</v>
      </c>
      <c r="G521" s="49">
        <v>35659</v>
      </c>
      <c r="H521" s="50" t="str">
        <f t="shared" si="16"/>
        <v>Aug</v>
      </c>
      <c r="I521" s="51">
        <f t="shared" ca="1" si="17"/>
        <v>19</v>
      </c>
      <c r="J521" s="52"/>
      <c r="K521" s="53">
        <v>103180</v>
      </c>
      <c r="L521" s="54">
        <v>2</v>
      </c>
      <c r="M521" s="55"/>
    </row>
    <row r="522" spans="1:13" x14ac:dyDescent="0.25">
      <c r="A522" s="39" t="s">
        <v>811</v>
      </c>
      <c r="B522" s="46" t="s">
        <v>266</v>
      </c>
      <c r="C522" s="39" t="s">
        <v>767</v>
      </c>
      <c r="D522" s="72">
        <v>437460422</v>
      </c>
      <c r="E522" s="73">
        <v>2528439277</v>
      </c>
      <c r="F522" s="39" t="s">
        <v>261</v>
      </c>
      <c r="G522" s="49">
        <v>39724</v>
      </c>
      <c r="H522" s="50" t="str">
        <f t="shared" si="16"/>
        <v>Oct</v>
      </c>
      <c r="I522" s="51">
        <f t="shared" ca="1" si="17"/>
        <v>8</v>
      </c>
      <c r="J522" s="52" t="s">
        <v>283</v>
      </c>
      <c r="K522" s="53">
        <v>12760</v>
      </c>
      <c r="L522" s="54">
        <v>3</v>
      </c>
      <c r="M522" s="55"/>
    </row>
    <row r="523" spans="1:13" x14ac:dyDescent="0.25">
      <c r="A523" s="39" t="s">
        <v>812</v>
      </c>
      <c r="B523" s="46" t="s">
        <v>271</v>
      </c>
      <c r="C523" s="39" t="s">
        <v>767</v>
      </c>
      <c r="D523" s="72">
        <v>358017400</v>
      </c>
      <c r="E523" s="73">
        <v>2523265407</v>
      </c>
      <c r="F523" s="39" t="s">
        <v>252</v>
      </c>
      <c r="G523" s="49">
        <v>37381</v>
      </c>
      <c r="H523" s="50" t="str">
        <f t="shared" si="16"/>
        <v>May</v>
      </c>
      <c r="I523" s="51">
        <f t="shared" ca="1" si="17"/>
        <v>14</v>
      </c>
      <c r="J523" s="52"/>
      <c r="K523" s="53">
        <v>43260</v>
      </c>
      <c r="L523" s="54">
        <v>5</v>
      </c>
      <c r="M523" s="55"/>
    </row>
    <row r="524" spans="1:13" x14ac:dyDescent="0.25">
      <c r="A524" s="39" t="s">
        <v>813</v>
      </c>
      <c r="B524" s="46" t="s">
        <v>245</v>
      </c>
      <c r="C524" s="39" t="s">
        <v>767</v>
      </c>
      <c r="D524" s="72">
        <v>476243591</v>
      </c>
      <c r="E524" s="73">
        <v>9197188067</v>
      </c>
      <c r="F524" s="39" t="s">
        <v>256</v>
      </c>
      <c r="G524" s="49">
        <v>35990</v>
      </c>
      <c r="H524" s="50" t="str">
        <f t="shared" si="16"/>
        <v>Jul</v>
      </c>
      <c r="I524" s="51">
        <f t="shared" ca="1" si="17"/>
        <v>18</v>
      </c>
      <c r="J524" s="52" t="s">
        <v>257</v>
      </c>
      <c r="K524" s="53">
        <v>60680</v>
      </c>
      <c r="L524" s="54">
        <v>4</v>
      </c>
      <c r="M524" s="55"/>
    </row>
    <row r="525" spans="1:13" x14ac:dyDescent="0.25">
      <c r="A525" s="39" t="s">
        <v>814</v>
      </c>
      <c r="B525" s="46" t="s">
        <v>285</v>
      </c>
      <c r="C525" s="39" t="s">
        <v>767</v>
      </c>
      <c r="D525" s="72">
        <v>475671127</v>
      </c>
      <c r="E525" s="73">
        <v>9196650531</v>
      </c>
      <c r="F525" s="39" t="s">
        <v>256</v>
      </c>
      <c r="G525" s="49">
        <v>36959</v>
      </c>
      <c r="H525" s="50" t="str">
        <f t="shared" si="16"/>
        <v>Mar</v>
      </c>
      <c r="I525" s="51">
        <f t="shared" ca="1" si="17"/>
        <v>15</v>
      </c>
      <c r="J525" s="52" t="s">
        <v>283</v>
      </c>
      <c r="K525" s="53">
        <v>73700</v>
      </c>
      <c r="L525" s="54">
        <v>4</v>
      </c>
      <c r="M525" s="55"/>
    </row>
    <row r="526" spans="1:13" x14ac:dyDescent="0.25">
      <c r="A526" s="39" t="s">
        <v>815</v>
      </c>
      <c r="B526" s="46" t="s">
        <v>251</v>
      </c>
      <c r="C526" s="39" t="s">
        <v>767</v>
      </c>
      <c r="D526" s="72">
        <v>343185481</v>
      </c>
      <c r="E526" s="73">
        <v>9196446519</v>
      </c>
      <c r="F526" s="39" t="s">
        <v>256</v>
      </c>
      <c r="G526" s="49">
        <v>36919</v>
      </c>
      <c r="H526" s="50" t="str">
        <f t="shared" si="16"/>
        <v>Jan</v>
      </c>
      <c r="I526" s="51">
        <f t="shared" ca="1" si="17"/>
        <v>15</v>
      </c>
      <c r="J526" s="52" t="s">
        <v>262</v>
      </c>
      <c r="K526" s="53">
        <v>88490</v>
      </c>
      <c r="L526" s="54">
        <v>4</v>
      </c>
      <c r="M526" s="55"/>
    </row>
    <row r="527" spans="1:13" x14ac:dyDescent="0.25">
      <c r="A527" s="39" t="s">
        <v>816</v>
      </c>
      <c r="B527" s="46" t="s">
        <v>271</v>
      </c>
      <c r="C527" s="39" t="s">
        <v>767</v>
      </c>
      <c r="D527" s="72">
        <v>959750235</v>
      </c>
      <c r="E527" s="73">
        <v>2528488350</v>
      </c>
      <c r="F527" s="39" t="s">
        <v>256</v>
      </c>
      <c r="G527" s="49">
        <v>41138</v>
      </c>
      <c r="H527" s="50" t="str">
        <f t="shared" si="16"/>
        <v>Aug</v>
      </c>
      <c r="I527" s="51">
        <f t="shared" ca="1" si="17"/>
        <v>4</v>
      </c>
      <c r="J527" s="52" t="s">
        <v>257</v>
      </c>
      <c r="K527" s="53">
        <v>65030</v>
      </c>
      <c r="L527" s="54">
        <v>4</v>
      </c>
      <c r="M527" s="55"/>
    </row>
    <row r="528" spans="1:13" x14ac:dyDescent="0.25">
      <c r="A528" s="39" t="s">
        <v>817</v>
      </c>
      <c r="B528" s="46" t="s">
        <v>285</v>
      </c>
      <c r="C528" s="39" t="s">
        <v>767</v>
      </c>
      <c r="D528" s="72">
        <v>569882669</v>
      </c>
      <c r="E528" s="73">
        <v>2523122083</v>
      </c>
      <c r="F528" s="39" t="s">
        <v>256</v>
      </c>
      <c r="G528" s="49">
        <v>38569</v>
      </c>
      <c r="H528" s="50" t="str">
        <f t="shared" si="16"/>
        <v>Aug</v>
      </c>
      <c r="I528" s="51">
        <f t="shared" ca="1" si="17"/>
        <v>11</v>
      </c>
      <c r="J528" s="52" t="s">
        <v>262</v>
      </c>
      <c r="K528" s="53">
        <v>54120</v>
      </c>
      <c r="L528" s="54">
        <v>2</v>
      </c>
      <c r="M528" s="55"/>
    </row>
    <row r="529" spans="1:13" x14ac:dyDescent="0.25">
      <c r="A529" s="39" t="s">
        <v>818</v>
      </c>
      <c r="B529" s="46" t="s">
        <v>280</v>
      </c>
      <c r="C529" s="39" t="s">
        <v>767</v>
      </c>
      <c r="D529" s="72">
        <v>369210573</v>
      </c>
      <c r="E529" s="73">
        <v>2526555049</v>
      </c>
      <c r="F529" s="39" t="s">
        <v>261</v>
      </c>
      <c r="G529" s="49">
        <v>37218</v>
      </c>
      <c r="H529" s="50" t="str">
        <f t="shared" si="16"/>
        <v>Nov</v>
      </c>
      <c r="I529" s="51">
        <f t="shared" ca="1" si="17"/>
        <v>14</v>
      </c>
      <c r="J529" s="52" t="s">
        <v>283</v>
      </c>
      <c r="K529" s="53">
        <v>26970</v>
      </c>
      <c r="L529" s="54">
        <v>4</v>
      </c>
      <c r="M529" s="55"/>
    </row>
    <row r="530" spans="1:13" x14ac:dyDescent="0.25">
      <c r="A530" s="39" t="s">
        <v>819</v>
      </c>
      <c r="B530" s="46" t="s">
        <v>271</v>
      </c>
      <c r="C530" s="39" t="s">
        <v>767</v>
      </c>
      <c r="D530" s="72">
        <v>317193890</v>
      </c>
      <c r="E530" s="73">
        <v>9192350434</v>
      </c>
      <c r="F530" s="39" t="s">
        <v>256</v>
      </c>
      <c r="G530" s="49">
        <v>35170</v>
      </c>
      <c r="H530" s="50" t="str">
        <f t="shared" si="16"/>
        <v>Apr</v>
      </c>
      <c r="I530" s="51">
        <f t="shared" ca="1" si="17"/>
        <v>20</v>
      </c>
      <c r="J530" s="52" t="s">
        <v>267</v>
      </c>
      <c r="K530" s="53">
        <v>83300</v>
      </c>
      <c r="L530" s="54">
        <v>2</v>
      </c>
      <c r="M530" s="55"/>
    </row>
    <row r="531" spans="1:13" x14ac:dyDescent="0.25">
      <c r="A531" s="39" t="s">
        <v>820</v>
      </c>
      <c r="B531" s="46" t="s">
        <v>285</v>
      </c>
      <c r="C531" s="39" t="s">
        <v>767</v>
      </c>
      <c r="D531" s="72">
        <v>552528553</v>
      </c>
      <c r="E531" s="73">
        <v>9194310812</v>
      </c>
      <c r="F531" s="39" t="s">
        <v>252</v>
      </c>
      <c r="G531" s="49">
        <v>37341</v>
      </c>
      <c r="H531" s="50" t="str">
        <f t="shared" si="16"/>
        <v>Mar</v>
      </c>
      <c r="I531" s="51">
        <f t="shared" ca="1" si="17"/>
        <v>14</v>
      </c>
      <c r="J531" s="52"/>
      <c r="K531" s="53">
        <v>44420</v>
      </c>
      <c r="L531" s="54">
        <v>4</v>
      </c>
      <c r="M531" s="55"/>
    </row>
    <row r="532" spans="1:13" x14ac:dyDescent="0.25">
      <c r="A532" s="39" t="s">
        <v>821</v>
      </c>
      <c r="B532" s="46" t="s">
        <v>280</v>
      </c>
      <c r="C532" s="39" t="s">
        <v>767</v>
      </c>
      <c r="D532" s="72">
        <v>886332647</v>
      </c>
      <c r="E532" s="73">
        <v>2526698101</v>
      </c>
      <c r="F532" s="39" t="s">
        <v>256</v>
      </c>
      <c r="G532" s="49">
        <v>38849</v>
      </c>
      <c r="H532" s="50" t="str">
        <f t="shared" si="16"/>
        <v>May</v>
      </c>
      <c r="I532" s="51">
        <f t="shared" ca="1" si="17"/>
        <v>10</v>
      </c>
      <c r="J532" s="52" t="s">
        <v>262</v>
      </c>
      <c r="K532" s="53">
        <v>92290</v>
      </c>
      <c r="L532" s="54">
        <v>2</v>
      </c>
      <c r="M532" s="55"/>
    </row>
    <row r="533" spans="1:13" x14ac:dyDescent="0.25">
      <c r="A533" s="39" t="s">
        <v>822</v>
      </c>
      <c r="B533" s="46" t="s">
        <v>271</v>
      </c>
      <c r="C533" s="39" t="s">
        <v>767</v>
      </c>
      <c r="D533" s="72">
        <v>191359642</v>
      </c>
      <c r="E533" s="73">
        <v>2528687353</v>
      </c>
      <c r="F533" s="39" t="s">
        <v>256</v>
      </c>
      <c r="G533" s="49">
        <v>34362</v>
      </c>
      <c r="H533" s="50" t="str">
        <f t="shared" si="16"/>
        <v>Jan</v>
      </c>
      <c r="I533" s="51">
        <f t="shared" ca="1" si="17"/>
        <v>22</v>
      </c>
      <c r="J533" s="52" t="s">
        <v>257</v>
      </c>
      <c r="K533" s="53">
        <v>28910</v>
      </c>
      <c r="L533" s="54">
        <v>4</v>
      </c>
      <c r="M533" s="55"/>
    </row>
    <row r="534" spans="1:13" x14ac:dyDescent="0.25">
      <c r="A534" s="39" t="s">
        <v>823</v>
      </c>
      <c r="B534" s="46" t="s">
        <v>271</v>
      </c>
      <c r="C534" s="39" t="s">
        <v>767</v>
      </c>
      <c r="D534" s="72">
        <v>387131597</v>
      </c>
      <c r="E534" s="73">
        <v>9191963194</v>
      </c>
      <c r="F534" s="39" t="s">
        <v>247</v>
      </c>
      <c r="G534" s="49">
        <v>34516</v>
      </c>
      <c r="H534" s="50" t="str">
        <f t="shared" si="16"/>
        <v>Jul</v>
      </c>
      <c r="I534" s="51">
        <f t="shared" ca="1" si="17"/>
        <v>22</v>
      </c>
      <c r="J534" s="52"/>
      <c r="K534" s="53">
        <v>63300</v>
      </c>
      <c r="L534" s="54">
        <v>1</v>
      </c>
      <c r="M534" s="55"/>
    </row>
    <row r="535" spans="1:13" x14ac:dyDescent="0.25">
      <c r="A535" s="39" t="s">
        <v>824</v>
      </c>
      <c r="B535" s="46" t="s">
        <v>285</v>
      </c>
      <c r="C535" s="39" t="s">
        <v>767</v>
      </c>
      <c r="D535" s="72">
        <v>556327593</v>
      </c>
      <c r="E535" s="73">
        <v>2523324762</v>
      </c>
      <c r="F535" s="39" t="s">
        <v>247</v>
      </c>
      <c r="G535" s="49">
        <v>36302</v>
      </c>
      <c r="H535" s="50" t="str">
        <f t="shared" si="16"/>
        <v>May</v>
      </c>
      <c r="I535" s="51">
        <f t="shared" ca="1" si="17"/>
        <v>17</v>
      </c>
      <c r="J535" s="52"/>
      <c r="K535" s="53">
        <v>72080</v>
      </c>
      <c r="L535" s="54">
        <v>2</v>
      </c>
      <c r="M535" s="55"/>
    </row>
    <row r="536" spans="1:13" x14ac:dyDescent="0.25">
      <c r="A536" s="39" t="s">
        <v>825</v>
      </c>
      <c r="B536" s="46" t="s">
        <v>285</v>
      </c>
      <c r="C536" s="39" t="s">
        <v>767</v>
      </c>
      <c r="D536" s="72">
        <v>160662505</v>
      </c>
      <c r="E536" s="73">
        <v>2526427045</v>
      </c>
      <c r="F536" s="39" t="s">
        <v>247</v>
      </c>
      <c r="G536" s="49">
        <v>38527</v>
      </c>
      <c r="H536" s="50" t="str">
        <f t="shared" si="16"/>
        <v>Jun</v>
      </c>
      <c r="I536" s="51">
        <f t="shared" ca="1" si="17"/>
        <v>11</v>
      </c>
      <c r="J536" s="52"/>
      <c r="K536" s="53">
        <v>73900</v>
      </c>
      <c r="L536" s="54">
        <v>3</v>
      </c>
      <c r="M536" s="55"/>
    </row>
    <row r="537" spans="1:13" x14ac:dyDescent="0.25">
      <c r="A537" s="39" t="s">
        <v>826</v>
      </c>
      <c r="B537" s="46" t="s">
        <v>271</v>
      </c>
      <c r="C537" s="39" t="s">
        <v>767</v>
      </c>
      <c r="D537" s="72">
        <v>330879921</v>
      </c>
      <c r="E537" s="73">
        <v>9195691314</v>
      </c>
      <c r="F537" s="39" t="s">
        <v>256</v>
      </c>
      <c r="G537" s="49">
        <v>37089</v>
      </c>
      <c r="H537" s="50" t="str">
        <f t="shared" si="16"/>
        <v>Jul</v>
      </c>
      <c r="I537" s="51">
        <f t="shared" ca="1" si="17"/>
        <v>15</v>
      </c>
      <c r="J537" s="52" t="s">
        <v>267</v>
      </c>
      <c r="K537" s="53">
        <v>65500</v>
      </c>
      <c r="L537" s="54">
        <v>4</v>
      </c>
      <c r="M537" s="55"/>
    </row>
    <row r="538" spans="1:13" x14ac:dyDescent="0.25">
      <c r="A538" s="39" t="s">
        <v>827</v>
      </c>
      <c r="B538" s="46" t="s">
        <v>285</v>
      </c>
      <c r="C538" s="39" t="s">
        <v>767</v>
      </c>
      <c r="D538" s="72">
        <v>468234190</v>
      </c>
      <c r="E538" s="73">
        <v>2521569304</v>
      </c>
      <c r="F538" s="39" t="s">
        <v>256</v>
      </c>
      <c r="G538" s="49">
        <v>36170</v>
      </c>
      <c r="H538" s="50" t="str">
        <f t="shared" si="16"/>
        <v>Jan</v>
      </c>
      <c r="I538" s="51">
        <f t="shared" ca="1" si="17"/>
        <v>17</v>
      </c>
      <c r="J538" s="52" t="s">
        <v>276</v>
      </c>
      <c r="K538" s="53">
        <v>87170</v>
      </c>
      <c r="L538" s="54">
        <v>3</v>
      </c>
      <c r="M538" s="55"/>
    </row>
    <row r="539" spans="1:13" x14ac:dyDescent="0.25">
      <c r="A539" s="39" t="s">
        <v>828</v>
      </c>
      <c r="B539" s="46" t="s">
        <v>271</v>
      </c>
      <c r="C539" s="39" t="s">
        <v>767</v>
      </c>
      <c r="D539" s="72">
        <v>379340654</v>
      </c>
      <c r="E539" s="73">
        <v>9198642893</v>
      </c>
      <c r="F539" s="39" t="s">
        <v>256</v>
      </c>
      <c r="G539" s="49">
        <v>36991</v>
      </c>
      <c r="H539" s="50" t="str">
        <f t="shared" si="16"/>
        <v>Apr</v>
      </c>
      <c r="I539" s="51">
        <f t="shared" ca="1" si="17"/>
        <v>15</v>
      </c>
      <c r="J539" s="52" t="s">
        <v>276</v>
      </c>
      <c r="K539" s="53">
        <v>44270</v>
      </c>
      <c r="L539" s="54">
        <v>1</v>
      </c>
      <c r="M539" s="55"/>
    </row>
    <row r="540" spans="1:13" x14ac:dyDescent="0.25">
      <c r="A540" s="39" t="s">
        <v>829</v>
      </c>
      <c r="B540" s="46" t="s">
        <v>245</v>
      </c>
      <c r="C540" s="39" t="s">
        <v>767</v>
      </c>
      <c r="D540" s="72">
        <v>174159111</v>
      </c>
      <c r="E540" s="73">
        <v>9191675237</v>
      </c>
      <c r="F540" s="39" t="s">
        <v>256</v>
      </c>
      <c r="G540" s="49">
        <v>36287</v>
      </c>
      <c r="H540" s="50" t="str">
        <f t="shared" si="16"/>
        <v>May</v>
      </c>
      <c r="I540" s="51">
        <f t="shared" ca="1" si="17"/>
        <v>17</v>
      </c>
      <c r="J540" s="52" t="s">
        <v>262</v>
      </c>
      <c r="K540" s="53">
        <v>87240</v>
      </c>
      <c r="L540" s="54">
        <v>5</v>
      </c>
      <c r="M540" s="55"/>
    </row>
    <row r="541" spans="1:13" x14ac:dyDescent="0.25">
      <c r="A541" s="39" t="s">
        <v>830</v>
      </c>
      <c r="B541" s="46" t="s">
        <v>271</v>
      </c>
      <c r="C541" s="39" t="s">
        <v>767</v>
      </c>
      <c r="D541" s="72">
        <v>990843236</v>
      </c>
      <c r="E541" s="73">
        <v>9196245634</v>
      </c>
      <c r="F541" s="39" t="s">
        <v>256</v>
      </c>
      <c r="G541" s="49">
        <v>40048</v>
      </c>
      <c r="H541" s="50" t="str">
        <f t="shared" si="16"/>
        <v>Aug</v>
      </c>
      <c r="I541" s="51">
        <f t="shared" ca="1" si="17"/>
        <v>7</v>
      </c>
      <c r="J541" s="52" t="s">
        <v>283</v>
      </c>
      <c r="K541" s="53">
        <v>79060</v>
      </c>
      <c r="L541" s="54">
        <v>5</v>
      </c>
      <c r="M541" s="55"/>
    </row>
    <row r="542" spans="1:13" x14ac:dyDescent="0.25">
      <c r="A542" s="39" t="s">
        <v>831</v>
      </c>
      <c r="B542" s="46" t="s">
        <v>245</v>
      </c>
      <c r="C542" s="39" t="s">
        <v>767</v>
      </c>
      <c r="D542" s="72">
        <v>160184934</v>
      </c>
      <c r="E542" s="73">
        <v>9191191599</v>
      </c>
      <c r="F542" s="39" t="s">
        <v>261</v>
      </c>
      <c r="G542" s="49">
        <v>35794</v>
      </c>
      <c r="H542" s="50" t="str">
        <f t="shared" si="16"/>
        <v>Dec</v>
      </c>
      <c r="I542" s="51">
        <f t="shared" ca="1" si="17"/>
        <v>18</v>
      </c>
      <c r="J542" s="52" t="s">
        <v>283</v>
      </c>
      <c r="K542" s="53">
        <v>12840</v>
      </c>
      <c r="L542" s="54">
        <v>4</v>
      </c>
      <c r="M542" s="55"/>
    </row>
    <row r="543" spans="1:13" x14ac:dyDescent="0.25">
      <c r="A543" s="39" t="s">
        <v>832</v>
      </c>
      <c r="B543" s="46" t="s">
        <v>271</v>
      </c>
      <c r="C543" s="39" t="s">
        <v>767</v>
      </c>
      <c r="D543" s="72">
        <v>462650472</v>
      </c>
      <c r="E543" s="73">
        <v>2521276517</v>
      </c>
      <c r="F543" s="39" t="s">
        <v>247</v>
      </c>
      <c r="G543" s="49">
        <v>34403</v>
      </c>
      <c r="H543" s="50" t="str">
        <f t="shared" si="16"/>
        <v>Mar</v>
      </c>
      <c r="I543" s="51">
        <f t="shared" ca="1" si="17"/>
        <v>22</v>
      </c>
      <c r="J543" s="52"/>
      <c r="K543" s="53">
        <v>95260</v>
      </c>
      <c r="L543" s="54">
        <v>1</v>
      </c>
      <c r="M543" s="55"/>
    </row>
    <row r="544" spans="1:13" x14ac:dyDescent="0.25">
      <c r="A544" s="39" t="s">
        <v>833</v>
      </c>
      <c r="B544" s="46" t="s">
        <v>285</v>
      </c>
      <c r="C544" s="39" t="s">
        <v>767</v>
      </c>
      <c r="D544" s="72">
        <v>115404531</v>
      </c>
      <c r="E544" s="73">
        <v>2522636321</v>
      </c>
      <c r="F544" s="39" t="s">
        <v>261</v>
      </c>
      <c r="G544" s="49">
        <v>39174</v>
      </c>
      <c r="H544" s="50" t="str">
        <f t="shared" si="16"/>
        <v>Apr</v>
      </c>
      <c r="I544" s="51">
        <f t="shared" ca="1" si="17"/>
        <v>9</v>
      </c>
      <c r="J544" s="52" t="s">
        <v>283</v>
      </c>
      <c r="K544" s="53">
        <v>39480</v>
      </c>
      <c r="L544" s="54">
        <v>2</v>
      </c>
      <c r="M544" s="55"/>
    </row>
    <row r="545" spans="1:17" x14ac:dyDescent="0.25">
      <c r="A545" s="39" t="s">
        <v>834</v>
      </c>
      <c r="B545" s="46" t="s">
        <v>251</v>
      </c>
      <c r="C545" s="39" t="s">
        <v>767</v>
      </c>
      <c r="D545" s="72">
        <v>618775364</v>
      </c>
      <c r="E545" s="73">
        <v>9193182167</v>
      </c>
      <c r="F545" s="39" t="s">
        <v>261</v>
      </c>
      <c r="G545" s="49">
        <v>41255</v>
      </c>
      <c r="H545" s="50" t="str">
        <f t="shared" si="16"/>
        <v>Dec</v>
      </c>
      <c r="I545" s="51">
        <f t="shared" ca="1" si="17"/>
        <v>3</v>
      </c>
      <c r="J545" s="52" t="s">
        <v>283</v>
      </c>
      <c r="K545" s="53">
        <v>58440</v>
      </c>
      <c r="L545" s="54">
        <v>3</v>
      </c>
      <c r="M545" s="55"/>
    </row>
    <row r="546" spans="1:17" x14ac:dyDescent="0.25">
      <c r="A546" s="39" t="s">
        <v>835</v>
      </c>
      <c r="B546" s="46" t="s">
        <v>271</v>
      </c>
      <c r="C546" s="39" t="s">
        <v>767</v>
      </c>
      <c r="D546" s="72">
        <v>737152868</v>
      </c>
      <c r="E546" s="73">
        <v>9191124357</v>
      </c>
      <c r="F546" s="39" t="s">
        <v>256</v>
      </c>
      <c r="G546" s="49">
        <v>37674</v>
      </c>
      <c r="H546" s="50" t="str">
        <f t="shared" si="16"/>
        <v>Feb</v>
      </c>
      <c r="I546" s="51">
        <f t="shared" ca="1" si="17"/>
        <v>13</v>
      </c>
      <c r="J546" s="52" t="s">
        <v>276</v>
      </c>
      <c r="K546" s="53">
        <v>58000</v>
      </c>
      <c r="L546" s="54">
        <v>1</v>
      </c>
      <c r="M546" s="55"/>
    </row>
    <row r="547" spans="1:17" x14ac:dyDescent="0.25">
      <c r="A547" s="39" t="s">
        <v>836</v>
      </c>
      <c r="B547" s="46" t="s">
        <v>285</v>
      </c>
      <c r="C547" s="39" t="s">
        <v>767</v>
      </c>
      <c r="D547" s="72">
        <v>161439267</v>
      </c>
      <c r="E547" s="73">
        <v>9197600603</v>
      </c>
      <c r="F547" s="39" t="s">
        <v>256</v>
      </c>
      <c r="G547" s="49">
        <v>40363</v>
      </c>
      <c r="H547" s="50" t="str">
        <f t="shared" si="16"/>
        <v>Jul</v>
      </c>
      <c r="I547" s="51">
        <f t="shared" ca="1" si="17"/>
        <v>6</v>
      </c>
      <c r="J547" s="52" t="s">
        <v>262</v>
      </c>
      <c r="K547" s="53">
        <v>50420</v>
      </c>
      <c r="L547" s="54">
        <v>5</v>
      </c>
      <c r="M547" s="55"/>
    </row>
    <row r="548" spans="1:17" x14ac:dyDescent="0.25">
      <c r="A548" s="39" t="s">
        <v>837</v>
      </c>
      <c r="B548" s="46" t="s">
        <v>271</v>
      </c>
      <c r="C548" s="39" t="s">
        <v>767</v>
      </c>
      <c r="D548" s="72">
        <v>336025451</v>
      </c>
      <c r="E548" s="73">
        <v>2522344526</v>
      </c>
      <c r="F548" s="39" t="s">
        <v>247</v>
      </c>
      <c r="G548" s="49">
        <v>35479</v>
      </c>
      <c r="H548" s="50" t="str">
        <f t="shared" si="16"/>
        <v>Feb</v>
      </c>
      <c r="I548" s="51">
        <f t="shared" ca="1" si="17"/>
        <v>19</v>
      </c>
      <c r="J548" s="52"/>
      <c r="K548" s="53">
        <v>67980</v>
      </c>
      <c r="L548" s="54">
        <v>1</v>
      </c>
      <c r="M548" s="55"/>
    </row>
    <row r="549" spans="1:17" x14ac:dyDescent="0.25">
      <c r="A549" s="39" t="s">
        <v>838</v>
      </c>
      <c r="B549" s="46" t="s">
        <v>266</v>
      </c>
      <c r="C549" s="39" t="s">
        <v>767</v>
      </c>
      <c r="D549" s="72">
        <v>289103201</v>
      </c>
      <c r="E549" s="73">
        <v>9192921836</v>
      </c>
      <c r="F549" s="39" t="s">
        <v>256</v>
      </c>
      <c r="G549" s="49">
        <v>40218</v>
      </c>
      <c r="H549" s="50" t="str">
        <f t="shared" si="16"/>
        <v>Feb</v>
      </c>
      <c r="I549" s="51">
        <f t="shared" ca="1" si="17"/>
        <v>6</v>
      </c>
      <c r="J549" s="52" t="s">
        <v>257</v>
      </c>
      <c r="K549" s="53">
        <v>88600</v>
      </c>
      <c r="L549" s="54">
        <v>2</v>
      </c>
      <c r="M549" s="55"/>
    </row>
    <row r="550" spans="1:17" x14ac:dyDescent="0.25">
      <c r="A550" s="39" t="s">
        <v>839</v>
      </c>
      <c r="B550" s="46" t="s">
        <v>271</v>
      </c>
      <c r="C550" s="39" t="s">
        <v>767</v>
      </c>
      <c r="D550" s="72">
        <v>638495756</v>
      </c>
      <c r="E550" s="73">
        <v>2528922252</v>
      </c>
      <c r="F550" s="39" t="s">
        <v>247</v>
      </c>
      <c r="G550" s="49">
        <v>34950</v>
      </c>
      <c r="H550" s="50" t="str">
        <f t="shared" si="16"/>
        <v>Sep</v>
      </c>
      <c r="I550" s="51">
        <f t="shared" ca="1" si="17"/>
        <v>21</v>
      </c>
      <c r="J550" s="52"/>
      <c r="K550" s="53">
        <v>53660</v>
      </c>
      <c r="L550" s="54">
        <v>2</v>
      </c>
      <c r="M550" s="55"/>
    </row>
    <row r="551" spans="1:17" x14ac:dyDescent="0.25">
      <c r="A551" s="39" t="s">
        <v>840</v>
      </c>
      <c r="B551" s="46" t="s">
        <v>271</v>
      </c>
      <c r="C551" s="39" t="s">
        <v>767</v>
      </c>
      <c r="D551" s="72">
        <v>548283920</v>
      </c>
      <c r="E551" s="73">
        <v>2524160215</v>
      </c>
      <c r="F551" s="39" t="s">
        <v>247</v>
      </c>
      <c r="G551" s="49">
        <v>37298</v>
      </c>
      <c r="H551" s="50" t="str">
        <f t="shared" si="16"/>
        <v>Feb</v>
      </c>
      <c r="I551" s="51">
        <f t="shared" ca="1" si="17"/>
        <v>14</v>
      </c>
      <c r="J551" s="52"/>
      <c r="K551" s="53">
        <v>69590</v>
      </c>
      <c r="L551" s="54">
        <v>5</v>
      </c>
      <c r="M551" s="55"/>
    </row>
    <row r="552" spans="1:17" x14ac:dyDescent="0.25">
      <c r="A552" s="39" t="s">
        <v>841</v>
      </c>
      <c r="B552" s="46" t="s">
        <v>280</v>
      </c>
      <c r="C552" s="39" t="s">
        <v>767</v>
      </c>
      <c r="D552" s="72">
        <v>486016972</v>
      </c>
      <c r="E552" s="73">
        <v>9194532398</v>
      </c>
      <c r="F552" s="39" t="s">
        <v>261</v>
      </c>
      <c r="G552" s="49">
        <v>40729</v>
      </c>
      <c r="H552" s="50" t="str">
        <f t="shared" si="16"/>
        <v>Jul</v>
      </c>
      <c r="I552" s="51">
        <f t="shared" ca="1" si="17"/>
        <v>5</v>
      </c>
      <c r="J552" s="52" t="s">
        <v>257</v>
      </c>
      <c r="K552" s="53">
        <v>54680</v>
      </c>
      <c r="L552" s="54">
        <v>1</v>
      </c>
      <c r="M552" s="55"/>
    </row>
    <row r="553" spans="1:17" x14ac:dyDescent="0.25">
      <c r="A553" s="39" t="s">
        <v>842</v>
      </c>
      <c r="B553" s="46" t="s">
        <v>271</v>
      </c>
      <c r="C553" s="39" t="s">
        <v>767</v>
      </c>
      <c r="D553" s="72">
        <v>867100310</v>
      </c>
      <c r="E553" s="73">
        <v>9191376854</v>
      </c>
      <c r="F553" s="39" t="s">
        <v>256</v>
      </c>
      <c r="G553" s="49">
        <v>37394</v>
      </c>
      <c r="H553" s="50" t="str">
        <f t="shared" si="16"/>
        <v>May</v>
      </c>
      <c r="I553" s="51">
        <f t="shared" ca="1" si="17"/>
        <v>14</v>
      </c>
      <c r="J553" s="52" t="s">
        <v>283</v>
      </c>
      <c r="K553" s="53">
        <v>79090</v>
      </c>
      <c r="L553" s="54">
        <v>5</v>
      </c>
      <c r="M553" s="55"/>
    </row>
    <row r="554" spans="1:17" x14ac:dyDescent="0.25">
      <c r="A554" s="39" t="s">
        <v>843</v>
      </c>
      <c r="B554" s="46" t="s">
        <v>271</v>
      </c>
      <c r="C554" s="39" t="s">
        <v>767</v>
      </c>
      <c r="D554" s="72">
        <v>339488599</v>
      </c>
      <c r="E554" s="73">
        <v>9191267946</v>
      </c>
      <c r="F554" s="39" t="s">
        <v>247</v>
      </c>
      <c r="G554" s="49">
        <v>38405</v>
      </c>
      <c r="H554" s="50" t="str">
        <f t="shared" si="16"/>
        <v>Feb</v>
      </c>
      <c r="I554" s="51">
        <f t="shared" ca="1" si="17"/>
        <v>11</v>
      </c>
      <c r="J554" s="52"/>
      <c r="K554" s="53">
        <v>72080</v>
      </c>
      <c r="L554" s="54">
        <v>3</v>
      </c>
      <c r="M554" s="55"/>
    </row>
    <row r="555" spans="1:17" x14ac:dyDescent="0.25">
      <c r="A555" s="39" t="s">
        <v>844</v>
      </c>
      <c r="B555" s="46" t="s">
        <v>280</v>
      </c>
      <c r="C555" s="39" t="s">
        <v>767</v>
      </c>
      <c r="D555" s="72">
        <v>422463024</v>
      </c>
      <c r="E555" s="73">
        <v>9193876146</v>
      </c>
      <c r="F555" s="39" t="s">
        <v>256</v>
      </c>
      <c r="G555" s="49">
        <v>35694</v>
      </c>
      <c r="H555" s="50" t="str">
        <f t="shared" si="16"/>
        <v>Sep</v>
      </c>
      <c r="I555" s="51">
        <f t="shared" ca="1" si="17"/>
        <v>19</v>
      </c>
      <c r="J555" s="52" t="s">
        <v>262</v>
      </c>
      <c r="K555" s="53">
        <v>106580</v>
      </c>
      <c r="L555" s="54">
        <v>2</v>
      </c>
      <c r="M555" s="55"/>
      <c r="P555" s="75"/>
      <c r="Q555" s="75"/>
    </row>
    <row r="556" spans="1:17" x14ac:dyDescent="0.25">
      <c r="A556" s="39" t="s">
        <v>845</v>
      </c>
      <c r="B556" s="46" t="s">
        <v>245</v>
      </c>
      <c r="C556" s="39" t="s">
        <v>767</v>
      </c>
      <c r="D556" s="72">
        <v>484442635</v>
      </c>
      <c r="E556" s="73">
        <v>2527194901</v>
      </c>
      <c r="F556" s="39" t="s">
        <v>247</v>
      </c>
      <c r="G556" s="49">
        <v>34168</v>
      </c>
      <c r="H556" s="50" t="str">
        <f t="shared" si="16"/>
        <v>Jul</v>
      </c>
      <c r="I556" s="51">
        <f t="shared" ca="1" si="17"/>
        <v>23</v>
      </c>
      <c r="J556" s="52"/>
      <c r="K556" s="53">
        <v>27620</v>
      </c>
      <c r="L556" s="54">
        <v>4</v>
      </c>
      <c r="M556" s="55"/>
    </row>
    <row r="557" spans="1:17" x14ac:dyDescent="0.25">
      <c r="A557" s="39" t="s">
        <v>846</v>
      </c>
      <c r="B557" s="46" t="s">
        <v>245</v>
      </c>
      <c r="C557" s="39" t="s">
        <v>767</v>
      </c>
      <c r="D557" s="72">
        <v>570756015</v>
      </c>
      <c r="E557" s="73">
        <v>2522238535</v>
      </c>
      <c r="F557" s="39" t="s">
        <v>261</v>
      </c>
      <c r="G557" s="49">
        <v>41422</v>
      </c>
      <c r="H557" s="50" t="str">
        <f t="shared" si="16"/>
        <v>May</v>
      </c>
      <c r="I557" s="51">
        <f t="shared" ca="1" si="17"/>
        <v>3</v>
      </c>
      <c r="J557" s="52" t="s">
        <v>262</v>
      </c>
      <c r="K557" s="53">
        <v>59230</v>
      </c>
      <c r="L557" s="54">
        <v>5</v>
      </c>
      <c r="M557" s="55"/>
    </row>
    <row r="558" spans="1:17" x14ac:dyDescent="0.25">
      <c r="A558" s="39" t="s">
        <v>847</v>
      </c>
      <c r="B558" s="46" t="s">
        <v>271</v>
      </c>
      <c r="C558" s="39" t="s">
        <v>767</v>
      </c>
      <c r="D558" s="72">
        <v>456809622</v>
      </c>
      <c r="E558" s="73">
        <v>2523046338</v>
      </c>
      <c r="F558" s="39" t="s">
        <v>256</v>
      </c>
      <c r="G558" s="49">
        <v>34099</v>
      </c>
      <c r="H558" s="50" t="str">
        <f t="shared" si="16"/>
        <v>May</v>
      </c>
      <c r="I558" s="51">
        <f t="shared" ca="1" si="17"/>
        <v>23</v>
      </c>
      <c r="J558" s="52" t="s">
        <v>257</v>
      </c>
      <c r="K558" s="53">
        <v>57700</v>
      </c>
      <c r="L558" s="54">
        <v>2</v>
      </c>
      <c r="M558" s="55"/>
      <c r="P558" s="75"/>
      <c r="Q558" s="75"/>
    </row>
    <row r="559" spans="1:17" x14ac:dyDescent="0.25">
      <c r="A559" s="39" t="s">
        <v>848</v>
      </c>
      <c r="B559" s="46" t="s">
        <v>266</v>
      </c>
      <c r="C559" s="39" t="s">
        <v>767</v>
      </c>
      <c r="D559" s="72">
        <v>546159785</v>
      </c>
      <c r="E559" s="73">
        <v>2522924678</v>
      </c>
      <c r="F559" s="39" t="s">
        <v>256</v>
      </c>
      <c r="G559" s="49">
        <v>39424</v>
      </c>
      <c r="H559" s="50" t="str">
        <f t="shared" si="16"/>
        <v>Dec</v>
      </c>
      <c r="I559" s="51">
        <f t="shared" ca="1" si="17"/>
        <v>8</v>
      </c>
      <c r="J559" s="52" t="s">
        <v>276</v>
      </c>
      <c r="K559" s="53">
        <v>73600</v>
      </c>
      <c r="L559" s="54">
        <v>2</v>
      </c>
      <c r="M559" s="55"/>
    </row>
    <row r="560" spans="1:17" x14ac:dyDescent="0.25">
      <c r="A560" s="39" t="s">
        <v>849</v>
      </c>
      <c r="B560" s="46" t="s">
        <v>285</v>
      </c>
      <c r="C560" s="39" t="s">
        <v>767</v>
      </c>
      <c r="D560" s="72">
        <v>592519945</v>
      </c>
      <c r="E560" s="73">
        <v>9195990200</v>
      </c>
      <c r="F560" s="39" t="s">
        <v>256</v>
      </c>
      <c r="G560" s="49">
        <v>40447</v>
      </c>
      <c r="H560" s="50" t="str">
        <f t="shared" si="16"/>
        <v>Sep</v>
      </c>
      <c r="I560" s="51">
        <f t="shared" ca="1" si="17"/>
        <v>6</v>
      </c>
      <c r="J560" s="52" t="s">
        <v>257</v>
      </c>
      <c r="K560" s="53">
        <v>53580</v>
      </c>
      <c r="L560" s="54">
        <v>1</v>
      </c>
      <c r="M560" s="55"/>
      <c r="P560" s="75"/>
      <c r="Q560" s="75"/>
    </row>
    <row r="561" spans="1:17" x14ac:dyDescent="0.25">
      <c r="A561" s="39" t="s">
        <v>850</v>
      </c>
      <c r="B561" s="46" t="s">
        <v>245</v>
      </c>
      <c r="C561" s="39" t="s">
        <v>767</v>
      </c>
      <c r="D561" s="72">
        <v>828715080</v>
      </c>
      <c r="E561" s="73">
        <v>2523613559</v>
      </c>
      <c r="F561" s="39" t="s">
        <v>256</v>
      </c>
      <c r="G561" s="49">
        <v>36095</v>
      </c>
      <c r="H561" s="50" t="str">
        <f t="shared" si="16"/>
        <v>Oct</v>
      </c>
      <c r="I561" s="51">
        <f t="shared" ca="1" si="17"/>
        <v>18</v>
      </c>
      <c r="J561" s="52" t="s">
        <v>262</v>
      </c>
      <c r="K561" s="53">
        <v>73380</v>
      </c>
      <c r="L561" s="54">
        <v>2</v>
      </c>
      <c r="M561" s="55"/>
    </row>
    <row r="562" spans="1:17" x14ac:dyDescent="0.25">
      <c r="A562" s="39" t="s">
        <v>851</v>
      </c>
      <c r="B562" s="46" t="s">
        <v>271</v>
      </c>
      <c r="C562" s="39" t="s">
        <v>767</v>
      </c>
      <c r="D562" s="72">
        <v>278129861</v>
      </c>
      <c r="E562" s="73">
        <v>9198561246</v>
      </c>
      <c r="F562" s="39" t="s">
        <v>247</v>
      </c>
      <c r="G562" s="49">
        <v>41405</v>
      </c>
      <c r="H562" s="50" t="str">
        <f t="shared" si="16"/>
        <v>May</v>
      </c>
      <c r="I562" s="51">
        <f t="shared" ca="1" si="17"/>
        <v>3</v>
      </c>
      <c r="J562" s="52"/>
      <c r="K562" s="53">
        <v>47460</v>
      </c>
      <c r="L562" s="54">
        <v>5</v>
      </c>
      <c r="M562" s="55"/>
    </row>
    <row r="563" spans="1:17" x14ac:dyDescent="0.25">
      <c r="A563" s="39" t="s">
        <v>852</v>
      </c>
      <c r="B563" s="46" t="s">
        <v>271</v>
      </c>
      <c r="C563" s="39" t="s">
        <v>767</v>
      </c>
      <c r="D563" s="72">
        <v>503036433</v>
      </c>
      <c r="E563" s="73">
        <v>9192453666</v>
      </c>
      <c r="F563" s="39" t="s">
        <v>256</v>
      </c>
      <c r="G563" s="49">
        <v>34461</v>
      </c>
      <c r="H563" s="50" t="str">
        <f t="shared" si="16"/>
        <v>May</v>
      </c>
      <c r="I563" s="51">
        <f t="shared" ca="1" si="17"/>
        <v>22</v>
      </c>
      <c r="J563" s="52" t="s">
        <v>267</v>
      </c>
      <c r="K563" s="53">
        <v>93290</v>
      </c>
      <c r="L563" s="54">
        <v>1</v>
      </c>
      <c r="M563" s="55"/>
    </row>
    <row r="564" spans="1:17" x14ac:dyDescent="0.25">
      <c r="A564" s="39" t="s">
        <v>853</v>
      </c>
      <c r="B564" s="46" t="s">
        <v>271</v>
      </c>
      <c r="C564" s="39" t="s">
        <v>767</v>
      </c>
      <c r="D564" s="72">
        <v>505680981</v>
      </c>
      <c r="E564" s="73">
        <v>2527557761</v>
      </c>
      <c r="F564" s="39" t="s">
        <v>256</v>
      </c>
      <c r="G564" s="49">
        <v>38139</v>
      </c>
      <c r="H564" s="50" t="str">
        <f t="shared" si="16"/>
        <v>Jun</v>
      </c>
      <c r="I564" s="51">
        <f t="shared" ca="1" si="17"/>
        <v>12</v>
      </c>
      <c r="J564" s="52" t="s">
        <v>257</v>
      </c>
      <c r="K564" s="53">
        <v>34960</v>
      </c>
      <c r="L564" s="54">
        <v>1</v>
      </c>
      <c r="M564" s="55"/>
    </row>
    <row r="565" spans="1:17" x14ac:dyDescent="0.25">
      <c r="A565" s="39" t="s">
        <v>854</v>
      </c>
      <c r="B565" s="46" t="s">
        <v>285</v>
      </c>
      <c r="C565" s="39" t="s">
        <v>767</v>
      </c>
      <c r="D565" s="72">
        <v>828395582</v>
      </c>
      <c r="E565" s="73">
        <v>9198591986</v>
      </c>
      <c r="F565" s="39" t="s">
        <v>256</v>
      </c>
      <c r="G565" s="49">
        <v>34574</v>
      </c>
      <c r="H565" s="50" t="str">
        <f t="shared" si="16"/>
        <v>Aug</v>
      </c>
      <c r="I565" s="51">
        <f t="shared" ca="1" si="17"/>
        <v>22</v>
      </c>
      <c r="J565" s="52" t="s">
        <v>276</v>
      </c>
      <c r="K565" s="53">
        <v>86020</v>
      </c>
      <c r="L565" s="54">
        <v>4</v>
      </c>
      <c r="M565" s="55"/>
    </row>
    <row r="566" spans="1:17" x14ac:dyDescent="0.25">
      <c r="A566" s="39" t="s">
        <v>855</v>
      </c>
      <c r="B566" s="46" t="s">
        <v>285</v>
      </c>
      <c r="C566" s="39" t="s">
        <v>856</v>
      </c>
      <c r="D566" s="72">
        <v>337411408</v>
      </c>
      <c r="E566" s="73">
        <v>9194729409</v>
      </c>
      <c r="F566" s="39" t="s">
        <v>256</v>
      </c>
      <c r="G566" s="49">
        <v>37527</v>
      </c>
      <c r="H566" s="50" t="str">
        <f t="shared" si="16"/>
        <v>Sep</v>
      </c>
      <c r="I566" s="51">
        <f t="shared" ca="1" si="17"/>
        <v>14</v>
      </c>
      <c r="J566" s="52" t="s">
        <v>257</v>
      </c>
      <c r="K566" s="53">
        <v>35110</v>
      </c>
      <c r="L566" s="54">
        <v>4</v>
      </c>
      <c r="M566" s="55"/>
    </row>
    <row r="567" spans="1:17" x14ac:dyDescent="0.25">
      <c r="A567" s="39" t="s">
        <v>857</v>
      </c>
      <c r="B567" s="46" t="s">
        <v>271</v>
      </c>
      <c r="C567" s="39" t="s">
        <v>856</v>
      </c>
      <c r="D567" s="72">
        <v>709234421</v>
      </c>
      <c r="E567" s="73">
        <v>2523838954</v>
      </c>
      <c r="F567" s="39" t="s">
        <v>256</v>
      </c>
      <c r="G567" s="49">
        <v>35755</v>
      </c>
      <c r="H567" s="50" t="str">
        <f t="shared" si="16"/>
        <v>Nov</v>
      </c>
      <c r="I567" s="51">
        <f t="shared" ca="1" si="17"/>
        <v>18</v>
      </c>
      <c r="J567" s="52" t="s">
        <v>257</v>
      </c>
      <c r="K567" s="53">
        <v>46800</v>
      </c>
      <c r="L567" s="54">
        <v>5</v>
      </c>
      <c r="M567" s="55"/>
    </row>
    <row r="568" spans="1:17" x14ac:dyDescent="0.25">
      <c r="A568" s="39" t="s">
        <v>858</v>
      </c>
      <c r="B568" s="46" t="s">
        <v>285</v>
      </c>
      <c r="C568" s="39" t="s">
        <v>856</v>
      </c>
      <c r="D568" s="72">
        <v>420739404</v>
      </c>
      <c r="E568" s="73">
        <v>9197785583</v>
      </c>
      <c r="F568" s="39" t="s">
        <v>256</v>
      </c>
      <c r="G568" s="49">
        <v>34270</v>
      </c>
      <c r="H568" s="50" t="str">
        <f t="shared" si="16"/>
        <v>Oct</v>
      </c>
      <c r="I568" s="51">
        <f t="shared" ca="1" si="17"/>
        <v>23</v>
      </c>
      <c r="J568" s="52" t="s">
        <v>283</v>
      </c>
      <c r="K568" s="53">
        <v>29810</v>
      </c>
      <c r="L568" s="54">
        <v>1</v>
      </c>
      <c r="M568" s="55"/>
    </row>
    <row r="569" spans="1:17" x14ac:dyDescent="0.25">
      <c r="A569" s="39" t="s">
        <v>859</v>
      </c>
      <c r="B569" s="46" t="s">
        <v>245</v>
      </c>
      <c r="C569" s="39" t="s">
        <v>856</v>
      </c>
      <c r="D569" s="72">
        <v>512404764</v>
      </c>
      <c r="E569" s="73">
        <v>9193976775</v>
      </c>
      <c r="F569" s="39" t="s">
        <v>256</v>
      </c>
      <c r="G569" s="49">
        <v>37291</v>
      </c>
      <c r="H569" s="50" t="str">
        <f t="shared" si="16"/>
        <v>Feb</v>
      </c>
      <c r="I569" s="51">
        <f t="shared" ca="1" si="17"/>
        <v>14</v>
      </c>
      <c r="J569" s="52" t="s">
        <v>283</v>
      </c>
      <c r="K569" s="53">
        <v>46800</v>
      </c>
      <c r="L569" s="54">
        <v>3</v>
      </c>
      <c r="M569" s="55"/>
    </row>
    <row r="570" spans="1:17" x14ac:dyDescent="0.25">
      <c r="A570" s="39" t="s">
        <v>860</v>
      </c>
      <c r="B570" s="46" t="s">
        <v>251</v>
      </c>
      <c r="C570" s="39" t="s">
        <v>856</v>
      </c>
      <c r="D570" s="72">
        <v>265993407</v>
      </c>
      <c r="E570" s="73">
        <v>9193558443</v>
      </c>
      <c r="F570" s="39" t="s">
        <v>247</v>
      </c>
      <c r="G570" s="49">
        <v>34283</v>
      </c>
      <c r="H570" s="50" t="str">
        <f t="shared" si="16"/>
        <v>Nov</v>
      </c>
      <c r="I570" s="51">
        <f t="shared" ca="1" si="17"/>
        <v>23</v>
      </c>
      <c r="J570" s="52"/>
      <c r="K570" s="53">
        <v>107340</v>
      </c>
      <c r="L570" s="54">
        <v>2</v>
      </c>
      <c r="M570" s="55"/>
    </row>
    <row r="571" spans="1:17" x14ac:dyDescent="0.25">
      <c r="A571" s="39" t="s">
        <v>861</v>
      </c>
      <c r="B571" s="46" t="s">
        <v>271</v>
      </c>
      <c r="C571" s="39" t="s">
        <v>856</v>
      </c>
      <c r="D571" s="72">
        <v>412159105</v>
      </c>
      <c r="E571" s="73">
        <v>9198252392</v>
      </c>
      <c r="F571" s="39" t="s">
        <v>252</v>
      </c>
      <c r="G571" s="49">
        <v>36403</v>
      </c>
      <c r="H571" s="50" t="str">
        <f t="shared" si="16"/>
        <v>Aug</v>
      </c>
      <c r="I571" s="51">
        <f t="shared" ca="1" si="17"/>
        <v>17</v>
      </c>
      <c r="J571" s="52"/>
      <c r="K571" s="53">
        <v>40210</v>
      </c>
      <c r="L571" s="54">
        <v>4</v>
      </c>
      <c r="M571" s="55"/>
      <c r="P571" s="75"/>
      <c r="Q571" s="75"/>
    </row>
    <row r="572" spans="1:17" x14ac:dyDescent="0.25">
      <c r="A572" s="39" t="s">
        <v>862</v>
      </c>
      <c r="B572" s="46" t="s">
        <v>266</v>
      </c>
      <c r="C572" s="39" t="s">
        <v>856</v>
      </c>
      <c r="D572" s="72">
        <v>889210902</v>
      </c>
      <c r="E572" s="73">
        <v>2527422559</v>
      </c>
      <c r="F572" s="39" t="s">
        <v>256</v>
      </c>
      <c r="G572" s="49">
        <v>37515</v>
      </c>
      <c r="H572" s="50" t="str">
        <f t="shared" si="16"/>
        <v>Sep</v>
      </c>
      <c r="I572" s="51">
        <f t="shared" ca="1" si="17"/>
        <v>14</v>
      </c>
      <c r="J572" s="52" t="s">
        <v>283</v>
      </c>
      <c r="K572" s="53">
        <v>57900</v>
      </c>
      <c r="L572" s="54">
        <v>3</v>
      </c>
      <c r="M572" s="55"/>
    </row>
    <row r="573" spans="1:17" x14ac:dyDescent="0.25">
      <c r="A573" s="39" t="s">
        <v>863</v>
      </c>
      <c r="B573" s="46" t="s">
        <v>271</v>
      </c>
      <c r="C573" s="39" t="s">
        <v>856</v>
      </c>
      <c r="D573" s="72">
        <v>843632637</v>
      </c>
      <c r="E573" s="73">
        <v>9198545681</v>
      </c>
      <c r="F573" s="39" t="s">
        <v>252</v>
      </c>
      <c r="G573" s="49">
        <v>36862</v>
      </c>
      <c r="H573" s="50" t="str">
        <f t="shared" si="16"/>
        <v>Dec</v>
      </c>
      <c r="I573" s="51">
        <f t="shared" ca="1" si="17"/>
        <v>15</v>
      </c>
      <c r="J573" s="52"/>
      <c r="K573" s="53">
        <v>15400</v>
      </c>
      <c r="L573" s="54">
        <v>5</v>
      </c>
      <c r="M573" s="55"/>
    </row>
    <row r="574" spans="1:17" x14ac:dyDescent="0.25">
      <c r="A574" s="39" t="s">
        <v>864</v>
      </c>
      <c r="B574" s="46" t="s">
        <v>266</v>
      </c>
      <c r="C574" s="39" t="s">
        <v>856</v>
      </c>
      <c r="D574" s="72">
        <v>313648228</v>
      </c>
      <c r="E574" s="73">
        <v>2524998145</v>
      </c>
      <c r="F574" s="39" t="s">
        <v>256</v>
      </c>
      <c r="G574" s="49">
        <v>38626</v>
      </c>
      <c r="H574" s="50" t="str">
        <f t="shared" si="16"/>
        <v>Oct</v>
      </c>
      <c r="I574" s="51">
        <f t="shared" ca="1" si="17"/>
        <v>11</v>
      </c>
      <c r="J574" s="52" t="s">
        <v>283</v>
      </c>
      <c r="K574" s="53">
        <v>98990</v>
      </c>
      <c r="L574" s="54">
        <v>5</v>
      </c>
      <c r="M574" s="55"/>
    </row>
    <row r="575" spans="1:17" x14ac:dyDescent="0.25">
      <c r="A575" s="39" t="s">
        <v>865</v>
      </c>
      <c r="B575" s="46" t="s">
        <v>285</v>
      </c>
      <c r="C575" s="39" t="s">
        <v>856</v>
      </c>
      <c r="D575" s="72">
        <v>110726520</v>
      </c>
      <c r="E575" s="73">
        <v>9197963782</v>
      </c>
      <c r="F575" s="39" t="s">
        <v>256</v>
      </c>
      <c r="G575" s="49">
        <v>36498</v>
      </c>
      <c r="H575" s="50" t="str">
        <f t="shared" si="16"/>
        <v>Dec</v>
      </c>
      <c r="I575" s="51">
        <f t="shared" ca="1" si="17"/>
        <v>16</v>
      </c>
      <c r="J575" s="52" t="s">
        <v>257</v>
      </c>
      <c r="K575" s="53">
        <v>94450</v>
      </c>
      <c r="L575" s="54">
        <v>4</v>
      </c>
      <c r="M575" s="55"/>
    </row>
    <row r="576" spans="1:17" x14ac:dyDescent="0.25">
      <c r="A576" s="39" t="s">
        <v>866</v>
      </c>
      <c r="B576" s="46" t="s">
        <v>285</v>
      </c>
      <c r="C576" s="39" t="s">
        <v>856</v>
      </c>
      <c r="D576" s="72">
        <v>932553359</v>
      </c>
      <c r="E576" s="73">
        <v>9192376215</v>
      </c>
      <c r="F576" s="39" t="s">
        <v>247</v>
      </c>
      <c r="G576" s="49">
        <v>40721</v>
      </c>
      <c r="H576" s="50" t="str">
        <f t="shared" si="16"/>
        <v>Jun</v>
      </c>
      <c r="I576" s="51">
        <f t="shared" ca="1" si="17"/>
        <v>5</v>
      </c>
      <c r="J576" s="52"/>
      <c r="K576" s="53">
        <v>51980</v>
      </c>
      <c r="L576" s="54">
        <v>5</v>
      </c>
      <c r="M576" s="55"/>
    </row>
    <row r="577" spans="1:13" x14ac:dyDescent="0.25">
      <c r="A577" s="39" t="s">
        <v>867</v>
      </c>
      <c r="B577" s="46" t="s">
        <v>271</v>
      </c>
      <c r="C577" s="39" t="s">
        <v>856</v>
      </c>
      <c r="D577" s="72">
        <v>705186668</v>
      </c>
      <c r="E577" s="73">
        <v>9193922813</v>
      </c>
      <c r="F577" s="39" t="s">
        <v>252</v>
      </c>
      <c r="G577" s="49">
        <v>35181</v>
      </c>
      <c r="H577" s="50" t="str">
        <f t="shared" si="16"/>
        <v>Apr</v>
      </c>
      <c r="I577" s="51">
        <f t="shared" ca="1" si="17"/>
        <v>20</v>
      </c>
      <c r="J577" s="52"/>
      <c r="K577" s="53">
        <v>31780</v>
      </c>
      <c r="L577" s="54">
        <v>5</v>
      </c>
      <c r="M577" s="55"/>
    </row>
    <row r="578" spans="1:13" x14ac:dyDescent="0.25">
      <c r="A578" s="39" t="s">
        <v>868</v>
      </c>
      <c r="B578" s="46" t="s">
        <v>266</v>
      </c>
      <c r="C578" s="39" t="s">
        <v>856</v>
      </c>
      <c r="D578" s="72">
        <v>733881041</v>
      </c>
      <c r="E578" s="73">
        <v>2524072342</v>
      </c>
      <c r="F578" s="39" t="s">
        <v>252</v>
      </c>
      <c r="G578" s="49">
        <v>37558</v>
      </c>
      <c r="H578" s="50" t="str">
        <f t="shared" ref="H578:H641" si="18">CHOOSE(MONTH(G578),"Jan","Feb","Mar","Apr","May","Jun","Jul","Aug","Sep","Oct","Nov","Dec")</f>
        <v>Oct</v>
      </c>
      <c r="I578" s="51">
        <f t="shared" ref="I578:I641" ca="1" si="19">DATEDIF(G578,TODAY(),"Y")</f>
        <v>14</v>
      </c>
      <c r="J578" s="52"/>
      <c r="K578" s="53">
        <v>18660</v>
      </c>
      <c r="L578" s="54">
        <v>4</v>
      </c>
      <c r="M578" s="55"/>
    </row>
    <row r="579" spans="1:13" x14ac:dyDescent="0.25">
      <c r="A579" s="39" t="s">
        <v>869</v>
      </c>
      <c r="B579" s="46" t="s">
        <v>251</v>
      </c>
      <c r="C579" s="39" t="s">
        <v>856</v>
      </c>
      <c r="D579" s="72">
        <v>462461365</v>
      </c>
      <c r="E579" s="73">
        <v>2527126482</v>
      </c>
      <c r="F579" s="39" t="s">
        <v>256</v>
      </c>
      <c r="G579" s="49">
        <v>35022</v>
      </c>
      <c r="H579" s="50" t="str">
        <f t="shared" si="18"/>
        <v>Nov</v>
      </c>
      <c r="I579" s="51">
        <f t="shared" ca="1" si="19"/>
        <v>20</v>
      </c>
      <c r="J579" s="52" t="s">
        <v>283</v>
      </c>
      <c r="K579" s="53">
        <v>54130</v>
      </c>
      <c r="L579" s="54">
        <v>2</v>
      </c>
      <c r="M579" s="55"/>
    </row>
    <row r="580" spans="1:13" x14ac:dyDescent="0.25">
      <c r="A580" s="39" t="s">
        <v>870</v>
      </c>
      <c r="B580" s="46" t="s">
        <v>285</v>
      </c>
      <c r="C580" s="39" t="s">
        <v>856</v>
      </c>
      <c r="D580" s="72">
        <v>983047016</v>
      </c>
      <c r="E580" s="73">
        <v>9198451642</v>
      </c>
      <c r="F580" s="39" t="s">
        <v>247</v>
      </c>
      <c r="G580" s="49">
        <v>39794</v>
      </c>
      <c r="H580" s="50" t="str">
        <f t="shared" si="18"/>
        <v>Dec</v>
      </c>
      <c r="I580" s="51">
        <f t="shared" ca="1" si="19"/>
        <v>7</v>
      </c>
      <c r="J580" s="52"/>
      <c r="K580" s="53">
        <v>103120</v>
      </c>
      <c r="L580" s="54">
        <v>2</v>
      </c>
      <c r="M580" s="55"/>
    </row>
    <row r="581" spans="1:13" x14ac:dyDescent="0.25">
      <c r="A581" s="39" t="s">
        <v>871</v>
      </c>
      <c r="B581" s="46" t="s">
        <v>285</v>
      </c>
      <c r="C581" s="39" t="s">
        <v>856</v>
      </c>
      <c r="D581" s="72">
        <v>489667166</v>
      </c>
      <c r="E581" s="73">
        <v>2522238881</v>
      </c>
      <c r="F581" s="39" t="s">
        <v>256</v>
      </c>
      <c r="G581" s="49">
        <v>37408</v>
      </c>
      <c r="H581" s="50" t="str">
        <f t="shared" si="18"/>
        <v>Jun</v>
      </c>
      <c r="I581" s="51">
        <f t="shared" ca="1" si="19"/>
        <v>14</v>
      </c>
      <c r="J581" s="52" t="s">
        <v>262</v>
      </c>
      <c r="K581" s="53">
        <v>55060</v>
      </c>
      <c r="L581" s="54">
        <v>5</v>
      </c>
      <c r="M581" s="55"/>
    </row>
    <row r="582" spans="1:13" x14ac:dyDescent="0.25">
      <c r="A582" s="39" t="s">
        <v>872</v>
      </c>
      <c r="B582" s="46" t="s">
        <v>285</v>
      </c>
      <c r="C582" s="39" t="s">
        <v>856</v>
      </c>
      <c r="D582" s="72">
        <v>826508763</v>
      </c>
      <c r="E582" s="73">
        <v>2526801348</v>
      </c>
      <c r="F582" s="39" t="s">
        <v>256</v>
      </c>
      <c r="G582" s="49">
        <v>40746</v>
      </c>
      <c r="H582" s="50" t="str">
        <f t="shared" si="18"/>
        <v>Jul</v>
      </c>
      <c r="I582" s="51">
        <f t="shared" ca="1" si="19"/>
        <v>5</v>
      </c>
      <c r="J582" s="52" t="s">
        <v>283</v>
      </c>
      <c r="K582" s="53">
        <v>35200</v>
      </c>
      <c r="L582" s="54">
        <v>5</v>
      </c>
      <c r="M582" s="55"/>
    </row>
    <row r="583" spans="1:13" x14ac:dyDescent="0.25">
      <c r="A583" s="39" t="s">
        <v>873</v>
      </c>
      <c r="B583" s="46" t="s">
        <v>285</v>
      </c>
      <c r="C583" s="39" t="s">
        <v>856</v>
      </c>
      <c r="D583" s="72">
        <v>135633006</v>
      </c>
      <c r="E583" s="73">
        <v>2526732103</v>
      </c>
      <c r="F583" s="39" t="s">
        <v>247</v>
      </c>
      <c r="G583" s="49">
        <v>37480</v>
      </c>
      <c r="H583" s="50" t="str">
        <f t="shared" si="18"/>
        <v>Aug</v>
      </c>
      <c r="I583" s="51">
        <f t="shared" ca="1" si="19"/>
        <v>14</v>
      </c>
      <c r="J583" s="52"/>
      <c r="K583" s="53">
        <v>65810</v>
      </c>
      <c r="L583" s="54">
        <v>4</v>
      </c>
      <c r="M583" s="55"/>
    </row>
    <row r="584" spans="1:13" x14ac:dyDescent="0.25">
      <c r="A584" s="39" t="s">
        <v>874</v>
      </c>
      <c r="B584" s="46" t="s">
        <v>271</v>
      </c>
      <c r="C584" s="39" t="s">
        <v>856</v>
      </c>
      <c r="D584" s="72">
        <v>548704405</v>
      </c>
      <c r="E584" s="73">
        <v>2526458440</v>
      </c>
      <c r="F584" s="39" t="s">
        <v>247</v>
      </c>
      <c r="G584" s="49">
        <v>37407</v>
      </c>
      <c r="H584" s="50" t="str">
        <f t="shared" si="18"/>
        <v>May</v>
      </c>
      <c r="I584" s="51">
        <f t="shared" ca="1" si="19"/>
        <v>14</v>
      </c>
      <c r="J584" s="52"/>
      <c r="K584" s="53">
        <v>72960</v>
      </c>
      <c r="L584" s="54">
        <v>4</v>
      </c>
      <c r="M584" s="55"/>
    </row>
    <row r="585" spans="1:13" x14ac:dyDescent="0.25">
      <c r="A585" s="39" t="s">
        <v>875</v>
      </c>
      <c r="B585" s="46" t="s">
        <v>285</v>
      </c>
      <c r="C585" s="39" t="s">
        <v>856</v>
      </c>
      <c r="D585" s="72">
        <v>100703382</v>
      </c>
      <c r="E585" s="73">
        <v>9195157047</v>
      </c>
      <c r="F585" s="39" t="s">
        <v>256</v>
      </c>
      <c r="G585" s="49">
        <v>35161</v>
      </c>
      <c r="H585" s="50" t="str">
        <f t="shared" si="18"/>
        <v>Apr</v>
      </c>
      <c r="I585" s="51">
        <f t="shared" ca="1" si="19"/>
        <v>20</v>
      </c>
      <c r="J585" s="52" t="s">
        <v>257</v>
      </c>
      <c r="K585" s="53">
        <v>65040</v>
      </c>
      <c r="L585" s="54">
        <v>4</v>
      </c>
      <c r="M585" s="55"/>
    </row>
    <row r="586" spans="1:13" x14ac:dyDescent="0.25">
      <c r="A586" s="39" t="s">
        <v>876</v>
      </c>
      <c r="B586" s="46" t="s">
        <v>285</v>
      </c>
      <c r="C586" s="39" t="s">
        <v>856</v>
      </c>
      <c r="D586" s="72">
        <v>622200296</v>
      </c>
      <c r="E586" s="73">
        <v>2526306545</v>
      </c>
      <c r="F586" s="39" t="s">
        <v>256</v>
      </c>
      <c r="G586" s="49">
        <v>34686</v>
      </c>
      <c r="H586" s="50" t="str">
        <f t="shared" si="18"/>
        <v>Dec</v>
      </c>
      <c r="I586" s="51">
        <f t="shared" ca="1" si="19"/>
        <v>21</v>
      </c>
      <c r="J586" s="52" t="s">
        <v>257</v>
      </c>
      <c r="K586" s="53">
        <v>78690</v>
      </c>
      <c r="L586" s="54">
        <v>3</v>
      </c>
      <c r="M586" s="55"/>
    </row>
    <row r="587" spans="1:13" x14ac:dyDescent="0.25">
      <c r="A587" s="39" t="s">
        <v>877</v>
      </c>
      <c r="B587" s="46" t="s">
        <v>271</v>
      </c>
      <c r="C587" s="39" t="s">
        <v>856</v>
      </c>
      <c r="D587" s="72">
        <v>863736129</v>
      </c>
      <c r="E587" s="73">
        <v>2522778445</v>
      </c>
      <c r="F587" s="39" t="s">
        <v>261</v>
      </c>
      <c r="G587" s="49">
        <v>36689</v>
      </c>
      <c r="H587" s="50" t="str">
        <f t="shared" si="18"/>
        <v>Jun</v>
      </c>
      <c r="I587" s="51">
        <f t="shared" ca="1" si="19"/>
        <v>16</v>
      </c>
      <c r="J587" s="52" t="s">
        <v>283</v>
      </c>
      <c r="K587" s="53">
        <v>51290</v>
      </c>
      <c r="L587" s="54">
        <v>2</v>
      </c>
      <c r="M587" s="55"/>
    </row>
    <row r="588" spans="1:13" x14ac:dyDescent="0.25">
      <c r="A588" s="39" t="s">
        <v>878</v>
      </c>
      <c r="B588" s="46" t="s">
        <v>285</v>
      </c>
      <c r="C588" s="39" t="s">
        <v>856</v>
      </c>
      <c r="D588" s="72">
        <v>784064156</v>
      </c>
      <c r="E588" s="78">
        <v>9193355152</v>
      </c>
      <c r="F588" s="39" t="s">
        <v>256</v>
      </c>
      <c r="G588" s="49">
        <v>34605</v>
      </c>
      <c r="H588" s="50" t="str">
        <f t="shared" si="18"/>
        <v>Sep</v>
      </c>
      <c r="I588" s="51">
        <f t="shared" ca="1" si="19"/>
        <v>22</v>
      </c>
      <c r="J588" s="52" t="s">
        <v>257</v>
      </c>
      <c r="K588" s="53">
        <v>65800</v>
      </c>
      <c r="L588" s="54">
        <v>1</v>
      </c>
      <c r="M588" s="55"/>
    </row>
    <row r="589" spans="1:13" x14ac:dyDescent="0.25">
      <c r="A589" s="39" t="s">
        <v>879</v>
      </c>
      <c r="B589" s="46" t="s">
        <v>271</v>
      </c>
      <c r="C589" s="39" t="s">
        <v>856</v>
      </c>
      <c r="D589" s="72">
        <v>102159909</v>
      </c>
      <c r="E589" s="73">
        <v>2521868104</v>
      </c>
      <c r="F589" s="39" t="s">
        <v>252</v>
      </c>
      <c r="G589" s="49">
        <v>35346</v>
      </c>
      <c r="H589" s="50" t="str">
        <f t="shared" si="18"/>
        <v>Oct</v>
      </c>
      <c r="I589" s="51">
        <f t="shared" ca="1" si="19"/>
        <v>20</v>
      </c>
      <c r="J589" s="52"/>
      <c r="K589" s="53">
        <v>44150</v>
      </c>
      <c r="L589" s="54">
        <v>4</v>
      </c>
      <c r="M589" s="55"/>
    </row>
    <row r="590" spans="1:13" x14ac:dyDescent="0.25">
      <c r="A590" s="39" t="s">
        <v>880</v>
      </c>
      <c r="B590" s="46" t="s">
        <v>285</v>
      </c>
      <c r="C590" s="39" t="s">
        <v>856</v>
      </c>
      <c r="D590" s="72">
        <v>708082156</v>
      </c>
      <c r="E590" s="73">
        <v>9194919822</v>
      </c>
      <c r="F590" s="39" t="s">
        <v>256</v>
      </c>
      <c r="G590" s="49">
        <v>37313</v>
      </c>
      <c r="H590" s="50" t="str">
        <f t="shared" si="18"/>
        <v>Feb</v>
      </c>
      <c r="I590" s="51">
        <f t="shared" ca="1" si="19"/>
        <v>14</v>
      </c>
      <c r="J590" s="52" t="s">
        <v>257</v>
      </c>
      <c r="K590" s="53">
        <v>83040</v>
      </c>
      <c r="L590" s="54">
        <v>4</v>
      </c>
      <c r="M590" s="55"/>
    </row>
    <row r="591" spans="1:13" x14ac:dyDescent="0.25">
      <c r="A591" s="39" t="s">
        <v>881</v>
      </c>
      <c r="B591" s="46" t="s">
        <v>280</v>
      </c>
      <c r="C591" s="39" t="s">
        <v>856</v>
      </c>
      <c r="D591" s="72">
        <v>614562070</v>
      </c>
      <c r="E591" s="73">
        <v>9192485673</v>
      </c>
      <c r="F591" s="39" t="s">
        <v>261</v>
      </c>
      <c r="G591" s="49">
        <v>38816</v>
      </c>
      <c r="H591" s="50" t="str">
        <f t="shared" si="18"/>
        <v>Apr</v>
      </c>
      <c r="I591" s="51">
        <f t="shared" ca="1" si="19"/>
        <v>10</v>
      </c>
      <c r="J591" s="52" t="s">
        <v>257</v>
      </c>
      <c r="K591" s="53">
        <v>58490</v>
      </c>
      <c r="L591" s="54">
        <v>1</v>
      </c>
      <c r="M591" s="55"/>
    </row>
    <row r="592" spans="1:13" x14ac:dyDescent="0.25">
      <c r="A592" s="39" t="s">
        <v>882</v>
      </c>
      <c r="B592" s="46" t="s">
        <v>271</v>
      </c>
      <c r="C592" s="39" t="s">
        <v>856</v>
      </c>
      <c r="D592" s="72">
        <v>975857784</v>
      </c>
      <c r="E592" s="73">
        <v>9192390604</v>
      </c>
      <c r="F592" s="39" t="s">
        <v>247</v>
      </c>
      <c r="G592" s="49">
        <v>37643</v>
      </c>
      <c r="H592" s="50" t="str">
        <f t="shared" si="18"/>
        <v>Jan</v>
      </c>
      <c r="I592" s="51">
        <f t="shared" ca="1" si="19"/>
        <v>13</v>
      </c>
      <c r="J592" s="52"/>
      <c r="K592" s="53">
        <v>93310</v>
      </c>
      <c r="L592" s="54">
        <v>3</v>
      </c>
      <c r="M592" s="55"/>
    </row>
    <row r="593" spans="1:13" x14ac:dyDescent="0.25">
      <c r="A593" s="39" t="s">
        <v>883</v>
      </c>
      <c r="B593" s="46" t="s">
        <v>285</v>
      </c>
      <c r="C593" s="39" t="s">
        <v>856</v>
      </c>
      <c r="D593" s="72">
        <v>323701315</v>
      </c>
      <c r="E593" s="73">
        <v>9194479196</v>
      </c>
      <c r="F593" s="39" t="s">
        <v>256</v>
      </c>
      <c r="G593" s="49">
        <v>41582</v>
      </c>
      <c r="H593" s="50" t="str">
        <f t="shared" si="18"/>
        <v>Nov</v>
      </c>
      <c r="I593" s="51">
        <f t="shared" ca="1" si="19"/>
        <v>3</v>
      </c>
      <c r="J593" s="52" t="s">
        <v>267</v>
      </c>
      <c r="K593" s="53">
        <v>96310</v>
      </c>
      <c r="L593" s="54">
        <v>3</v>
      </c>
      <c r="M593" s="55"/>
    </row>
    <row r="594" spans="1:13" x14ac:dyDescent="0.25">
      <c r="A594" s="39" t="s">
        <v>884</v>
      </c>
      <c r="B594" s="46" t="s">
        <v>266</v>
      </c>
      <c r="C594" s="39" t="s">
        <v>856</v>
      </c>
      <c r="D594" s="72">
        <v>878902154</v>
      </c>
      <c r="E594" s="73">
        <v>9191155509</v>
      </c>
      <c r="F594" s="39" t="s">
        <v>261</v>
      </c>
      <c r="G594" s="49">
        <v>34891</v>
      </c>
      <c r="H594" s="50" t="str">
        <f t="shared" si="18"/>
        <v>Jul</v>
      </c>
      <c r="I594" s="51">
        <f t="shared" ca="1" si="19"/>
        <v>21</v>
      </c>
      <c r="J594" s="52" t="s">
        <v>283</v>
      </c>
      <c r="K594" s="53">
        <v>31060</v>
      </c>
      <c r="L594" s="54">
        <v>5</v>
      </c>
      <c r="M594" s="55"/>
    </row>
    <row r="595" spans="1:13" x14ac:dyDescent="0.25">
      <c r="A595" s="39" t="s">
        <v>885</v>
      </c>
      <c r="B595" s="46" t="s">
        <v>271</v>
      </c>
      <c r="C595" s="39" t="s">
        <v>856</v>
      </c>
      <c r="D595" s="72">
        <v>562497973</v>
      </c>
      <c r="E595" s="73">
        <v>2524111882</v>
      </c>
      <c r="F595" s="39" t="s">
        <v>256</v>
      </c>
      <c r="G595" s="49">
        <v>36357</v>
      </c>
      <c r="H595" s="50" t="str">
        <f t="shared" si="18"/>
        <v>Jul</v>
      </c>
      <c r="I595" s="51">
        <f t="shared" ca="1" si="19"/>
        <v>17</v>
      </c>
      <c r="J595" s="52" t="s">
        <v>262</v>
      </c>
      <c r="K595" s="53">
        <v>75640</v>
      </c>
      <c r="L595" s="54">
        <v>1</v>
      </c>
      <c r="M595" s="55"/>
    </row>
    <row r="596" spans="1:13" x14ac:dyDescent="0.25">
      <c r="A596" s="39" t="s">
        <v>886</v>
      </c>
      <c r="B596" s="46" t="s">
        <v>285</v>
      </c>
      <c r="C596" s="39" t="s">
        <v>856</v>
      </c>
      <c r="D596" s="72">
        <v>331251341</v>
      </c>
      <c r="E596" s="73">
        <v>2528678875</v>
      </c>
      <c r="F596" s="39" t="s">
        <v>256</v>
      </c>
      <c r="G596" s="49">
        <v>36897</v>
      </c>
      <c r="H596" s="50" t="str">
        <f t="shared" si="18"/>
        <v>Jan</v>
      </c>
      <c r="I596" s="51">
        <f t="shared" ca="1" si="19"/>
        <v>15</v>
      </c>
      <c r="J596" s="52" t="s">
        <v>283</v>
      </c>
      <c r="K596" s="53">
        <v>84340</v>
      </c>
      <c r="L596" s="54">
        <v>3</v>
      </c>
      <c r="M596" s="55"/>
    </row>
    <row r="597" spans="1:13" x14ac:dyDescent="0.25">
      <c r="A597" s="39" t="s">
        <v>887</v>
      </c>
      <c r="B597" s="46" t="s">
        <v>266</v>
      </c>
      <c r="C597" s="39" t="s">
        <v>856</v>
      </c>
      <c r="D597" s="72">
        <v>687623890</v>
      </c>
      <c r="E597" s="73">
        <v>2522447501</v>
      </c>
      <c r="F597" s="39" t="s">
        <v>252</v>
      </c>
      <c r="G597" s="49">
        <v>36035</v>
      </c>
      <c r="H597" s="50" t="str">
        <f t="shared" si="18"/>
        <v>Aug</v>
      </c>
      <c r="I597" s="51">
        <f t="shared" ca="1" si="19"/>
        <v>18</v>
      </c>
      <c r="J597" s="52"/>
      <c r="K597" s="53">
        <v>28430</v>
      </c>
      <c r="L597" s="54">
        <v>4</v>
      </c>
      <c r="M597" s="55"/>
    </row>
    <row r="598" spans="1:13" x14ac:dyDescent="0.25">
      <c r="A598" s="39" t="s">
        <v>888</v>
      </c>
      <c r="B598" s="46" t="s">
        <v>285</v>
      </c>
      <c r="C598" s="39" t="s">
        <v>856</v>
      </c>
      <c r="D598" s="72">
        <v>351003584</v>
      </c>
      <c r="E598" s="73">
        <v>2524269081</v>
      </c>
      <c r="F598" s="39" t="s">
        <v>247</v>
      </c>
      <c r="G598" s="49">
        <v>37215</v>
      </c>
      <c r="H598" s="50" t="str">
        <f t="shared" si="18"/>
        <v>Nov</v>
      </c>
      <c r="I598" s="51">
        <f t="shared" ca="1" si="19"/>
        <v>14</v>
      </c>
      <c r="J598" s="52"/>
      <c r="K598" s="53">
        <v>63970</v>
      </c>
      <c r="L598" s="54">
        <v>5</v>
      </c>
      <c r="M598" s="55"/>
    </row>
    <row r="599" spans="1:13" x14ac:dyDescent="0.25">
      <c r="A599" s="39" t="s">
        <v>889</v>
      </c>
      <c r="B599" s="46" t="s">
        <v>285</v>
      </c>
      <c r="C599" s="39" t="s">
        <v>856</v>
      </c>
      <c r="D599" s="72">
        <v>693055639</v>
      </c>
      <c r="E599" s="73">
        <v>9195866887</v>
      </c>
      <c r="F599" s="39" t="s">
        <v>256</v>
      </c>
      <c r="G599" s="49">
        <v>34223</v>
      </c>
      <c r="H599" s="50" t="str">
        <f t="shared" si="18"/>
        <v>Sep</v>
      </c>
      <c r="I599" s="51">
        <f t="shared" ca="1" si="19"/>
        <v>23</v>
      </c>
      <c r="J599" s="52" t="s">
        <v>257</v>
      </c>
      <c r="K599" s="53">
        <v>64680</v>
      </c>
      <c r="L599" s="54">
        <v>5</v>
      </c>
      <c r="M599" s="55"/>
    </row>
    <row r="600" spans="1:13" x14ac:dyDescent="0.25">
      <c r="A600" s="39" t="s">
        <v>890</v>
      </c>
      <c r="B600" s="46" t="s">
        <v>271</v>
      </c>
      <c r="C600" s="39" t="s">
        <v>856</v>
      </c>
      <c r="D600" s="72">
        <v>277925508</v>
      </c>
      <c r="E600" s="73">
        <v>2526584511</v>
      </c>
      <c r="F600" s="39" t="s">
        <v>256</v>
      </c>
      <c r="G600" s="49">
        <v>36374</v>
      </c>
      <c r="H600" s="50" t="str">
        <f t="shared" si="18"/>
        <v>Aug</v>
      </c>
      <c r="I600" s="51">
        <f t="shared" ca="1" si="19"/>
        <v>17</v>
      </c>
      <c r="J600" s="52" t="s">
        <v>283</v>
      </c>
      <c r="K600" s="53">
        <v>79730</v>
      </c>
      <c r="L600" s="54">
        <v>3</v>
      </c>
      <c r="M600" s="55"/>
    </row>
    <row r="601" spans="1:13" x14ac:dyDescent="0.25">
      <c r="A601" s="39" t="s">
        <v>891</v>
      </c>
      <c r="B601" s="46" t="s">
        <v>271</v>
      </c>
      <c r="C601" s="39" t="s">
        <v>856</v>
      </c>
      <c r="D601" s="72">
        <v>750581894</v>
      </c>
      <c r="E601" s="73">
        <v>2528433766</v>
      </c>
      <c r="F601" s="39" t="s">
        <v>247</v>
      </c>
      <c r="G601" s="49">
        <v>41351</v>
      </c>
      <c r="H601" s="50" t="str">
        <f t="shared" si="18"/>
        <v>Mar</v>
      </c>
      <c r="I601" s="51">
        <f t="shared" ca="1" si="19"/>
        <v>3</v>
      </c>
      <c r="J601" s="52"/>
      <c r="K601" s="53">
        <v>25900</v>
      </c>
      <c r="L601" s="54">
        <v>3</v>
      </c>
      <c r="M601" s="55"/>
    </row>
    <row r="602" spans="1:13" x14ac:dyDescent="0.25">
      <c r="A602" s="39" t="s">
        <v>892</v>
      </c>
      <c r="B602" s="46" t="s">
        <v>280</v>
      </c>
      <c r="C602" s="39" t="s">
        <v>856</v>
      </c>
      <c r="D602" s="72">
        <v>491830893</v>
      </c>
      <c r="E602" s="73">
        <v>2524713634</v>
      </c>
      <c r="F602" s="39" t="s">
        <v>256</v>
      </c>
      <c r="G602" s="49">
        <v>41079</v>
      </c>
      <c r="H602" s="50" t="str">
        <f t="shared" si="18"/>
        <v>Jun</v>
      </c>
      <c r="I602" s="51">
        <f t="shared" ca="1" si="19"/>
        <v>4</v>
      </c>
      <c r="J602" s="52" t="s">
        <v>283</v>
      </c>
      <c r="K602" s="53">
        <v>27830</v>
      </c>
      <c r="L602" s="54">
        <v>5</v>
      </c>
      <c r="M602" s="55"/>
    </row>
    <row r="603" spans="1:13" x14ac:dyDescent="0.25">
      <c r="A603" s="39" t="s">
        <v>893</v>
      </c>
      <c r="B603" s="46" t="s">
        <v>280</v>
      </c>
      <c r="C603" s="39" t="s">
        <v>856</v>
      </c>
      <c r="D603" s="72">
        <v>666194498</v>
      </c>
      <c r="E603" s="73">
        <v>2526593848</v>
      </c>
      <c r="F603" s="39" t="s">
        <v>256</v>
      </c>
      <c r="G603" s="49">
        <v>39354</v>
      </c>
      <c r="H603" s="50" t="str">
        <f t="shared" si="18"/>
        <v>Sep</v>
      </c>
      <c r="I603" s="51">
        <f t="shared" ca="1" si="19"/>
        <v>9</v>
      </c>
      <c r="J603" s="52" t="s">
        <v>283</v>
      </c>
      <c r="K603" s="53">
        <v>100450</v>
      </c>
      <c r="L603" s="54">
        <v>3</v>
      </c>
      <c r="M603" s="55"/>
    </row>
    <row r="604" spans="1:13" x14ac:dyDescent="0.25">
      <c r="A604" s="39" t="s">
        <v>894</v>
      </c>
      <c r="B604" s="46" t="s">
        <v>245</v>
      </c>
      <c r="C604" s="39" t="s">
        <v>856</v>
      </c>
      <c r="D604" s="72">
        <v>352371400</v>
      </c>
      <c r="E604" s="78">
        <v>2525441252</v>
      </c>
      <c r="F604" s="39" t="s">
        <v>252</v>
      </c>
      <c r="G604" s="49">
        <v>34257</v>
      </c>
      <c r="H604" s="50" t="str">
        <f t="shared" si="18"/>
        <v>Oct</v>
      </c>
      <c r="I604" s="51">
        <f t="shared" ca="1" si="19"/>
        <v>23</v>
      </c>
      <c r="J604" s="52"/>
      <c r="K604" s="53">
        <v>36560</v>
      </c>
      <c r="L604" s="54">
        <v>2</v>
      </c>
      <c r="M604" s="55"/>
    </row>
    <row r="605" spans="1:13" x14ac:dyDescent="0.25">
      <c r="A605" s="39" t="s">
        <v>895</v>
      </c>
      <c r="B605" s="46" t="s">
        <v>271</v>
      </c>
      <c r="C605" s="39" t="s">
        <v>856</v>
      </c>
      <c r="D605" s="72">
        <v>836953739</v>
      </c>
      <c r="E605" s="73">
        <v>2526443692</v>
      </c>
      <c r="F605" s="39" t="s">
        <v>261</v>
      </c>
      <c r="G605" s="49">
        <v>37532</v>
      </c>
      <c r="H605" s="50" t="str">
        <f t="shared" si="18"/>
        <v>Oct</v>
      </c>
      <c r="I605" s="51">
        <f t="shared" ca="1" si="19"/>
        <v>14</v>
      </c>
      <c r="J605" s="52" t="s">
        <v>267</v>
      </c>
      <c r="K605" s="53">
        <v>25190</v>
      </c>
      <c r="L605" s="54">
        <v>4</v>
      </c>
      <c r="M605" s="55"/>
    </row>
    <row r="606" spans="1:13" x14ac:dyDescent="0.25">
      <c r="A606" s="39" t="s">
        <v>896</v>
      </c>
      <c r="B606" s="46" t="s">
        <v>271</v>
      </c>
      <c r="C606" s="39" t="s">
        <v>856</v>
      </c>
      <c r="D606" s="72">
        <v>304024314</v>
      </c>
      <c r="E606" s="73">
        <v>9192244880</v>
      </c>
      <c r="F606" s="39" t="s">
        <v>247</v>
      </c>
      <c r="G606" s="49">
        <v>34422</v>
      </c>
      <c r="H606" s="50" t="str">
        <f t="shared" si="18"/>
        <v>Mar</v>
      </c>
      <c r="I606" s="51">
        <f t="shared" ca="1" si="19"/>
        <v>22</v>
      </c>
      <c r="J606" s="52"/>
      <c r="K606" s="53">
        <v>55980</v>
      </c>
      <c r="L606" s="54">
        <v>2</v>
      </c>
      <c r="M606" s="55"/>
    </row>
    <row r="607" spans="1:13" x14ac:dyDescent="0.25">
      <c r="A607" s="39" t="s">
        <v>897</v>
      </c>
      <c r="B607" s="46" t="s">
        <v>285</v>
      </c>
      <c r="C607" s="39" t="s">
        <v>856</v>
      </c>
      <c r="D607" s="72">
        <v>750722934</v>
      </c>
      <c r="E607" s="73">
        <v>2523631883</v>
      </c>
      <c r="F607" s="39" t="s">
        <v>256</v>
      </c>
      <c r="G607" s="49">
        <v>36570</v>
      </c>
      <c r="H607" s="50" t="str">
        <f t="shared" si="18"/>
        <v>Feb</v>
      </c>
      <c r="I607" s="51">
        <f t="shared" ca="1" si="19"/>
        <v>16</v>
      </c>
      <c r="J607" s="52" t="s">
        <v>283</v>
      </c>
      <c r="K607" s="53">
        <v>45320</v>
      </c>
      <c r="L607" s="54">
        <v>5</v>
      </c>
      <c r="M607" s="55"/>
    </row>
    <row r="608" spans="1:13" x14ac:dyDescent="0.25">
      <c r="A608" s="39" t="s">
        <v>898</v>
      </c>
      <c r="B608" s="46" t="s">
        <v>271</v>
      </c>
      <c r="C608" s="39" t="s">
        <v>856</v>
      </c>
      <c r="D608" s="72">
        <v>404589373</v>
      </c>
      <c r="E608" s="73">
        <v>9198407416</v>
      </c>
      <c r="F608" s="39" t="s">
        <v>256</v>
      </c>
      <c r="G608" s="49">
        <v>35029</v>
      </c>
      <c r="H608" s="50" t="str">
        <f t="shared" si="18"/>
        <v>Nov</v>
      </c>
      <c r="I608" s="51">
        <f t="shared" ca="1" si="19"/>
        <v>20</v>
      </c>
      <c r="J608" s="52" t="s">
        <v>283</v>
      </c>
      <c r="K608" s="53">
        <v>80190</v>
      </c>
      <c r="L608" s="54">
        <v>2</v>
      </c>
      <c r="M608" s="55"/>
    </row>
    <row r="609" spans="1:13" x14ac:dyDescent="0.25">
      <c r="A609" s="39" t="s">
        <v>899</v>
      </c>
      <c r="B609" s="46" t="s">
        <v>245</v>
      </c>
      <c r="C609" s="39" t="s">
        <v>856</v>
      </c>
      <c r="D609" s="72">
        <v>291274360</v>
      </c>
      <c r="E609" s="73">
        <v>2524563177</v>
      </c>
      <c r="F609" s="39" t="s">
        <v>256</v>
      </c>
      <c r="G609" s="49">
        <v>37082</v>
      </c>
      <c r="H609" s="50" t="str">
        <f t="shared" si="18"/>
        <v>Jul</v>
      </c>
      <c r="I609" s="51">
        <f t="shared" ca="1" si="19"/>
        <v>15</v>
      </c>
      <c r="J609" s="52" t="s">
        <v>283</v>
      </c>
      <c r="K609" s="53">
        <v>80890</v>
      </c>
      <c r="L609" s="54">
        <v>5</v>
      </c>
      <c r="M609" s="55"/>
    </row>
    <row r="610" spans="1:13" x14ac:dyDescent="0.25">
      <c r="A610" s="39" t="s">
        <v>900</v>
      </c>
      <c r="B610" s="46" t="s">
        <v>245</v>
      </c>
      <c r="C610" s="39" t="s">
        <v>856</v>
      </c>
      <c r="D610" s="72">
        <v>221347766</v>
      </c>
      <c r="E610" s="73">
        <v>2526853122</v>
      </c>
      <c r="F610" s="39" t="s">
        <v>247</v>
      </c>
      <c r="G610" s="49">
        <v>37071</v>
      </c>
      <c r="H610" s="50" t="str">
        <f t="shared" si="18"/>
        <v>Jun</v>
      </c>
      <c r="I610" s="51">
        <f t="shared" ca="1" si="19"/>
        <v>15</v>
      </c>
      <c r="J610" s="52"/>
      <c r="K610" s="53">
        <v>70860</v>
      </c>
      <c r="L610" s="54">
        <v>4</v>
      </c>
      <c r="M610" s="55"/>
    </row>
    <row r="611" spans="1:13" x14ac:dyDescent="0.25">
      <c r="A611" s="39" t="s">
        <v>901</v>
      </c>
      <c r="B611" s="46" t="s">
        <v>271</v>
      </c>
      <c r="C611" s="39" t="s">
        <v>856</v>
      </c>
      <c r="D611" s="72">
        <v>718930584</v>
      </c>
      <c r="E611" s="73">
        <v>9195804771</v>
      </c>
      <c r="F611" s="39" t="s">
        <v>261</v>
      </c>
      <c r="G611" s="49">
        <v>37197</v>
      </c>
      <c r="H611" s="50" t="str">
        <f t="shared" si="18"/>
        <v>Nov</v>
      </c>
      <c r="I611" s="51">
        <f t="shared" ca="1" si="19"/>
        <v>15</v>
      </c>
      <c r="J611" s="52" t="s">
        <v>257</v>
      </c>
      <c r="K611" s="53">
        <v>41980</v>
      </c>
      <c r="L611" s="54">
        <v>2</v>
      </c>
      <c r="M611" s="55"/>
    </row>
    <row r="612" spans="1:13" x14ac:dyDescent="0.25">
      <c r="A612" s="39" t="s">
        <v>902</v>
      </c>
      <c r="B612" s="46" t="s">
        <v>271</v>
      </c>
      <c r="C612" s="39" t="s">
        <v>856</v>
      </c>
      <c r="D612" s="72">
        <v>644489557</v>
      </c>
      <c r="E612" s="73">
        <v>2526532463</v>
      </c>
      <c r="F612" s="39" t="s">
        <v>256</v>
      </c>
      <c r="G612" s="49">
        <v>37013</v>
      </c>
      <c r="H612" s="50" t="str">
        <f t="shared" si="18"/>
        <v>May</v>
      </c>
      <c r="I612" s="51">
        <f t="shared" ca="1" si="19"/>
        <v>15</v>
      </c>
      <c r="J612" s="52" t="s">
        <v>262</v>
      </c>
      <c r="K612" s="53">
        <v>94740</v>
      </c>
      <c r="L612" s="54">
        <v>1</v>
      </c>
      <c r="M612" s="55"/>
    </row>
    <row r="613" spans="1:13" x14ac:dyDescent="0.25">
      <c r="A613" s="39" t="s">
        <v>903</v>
      </c>
      <c r="B613" s="46" t="s">
        <v>271</v>
      </c>
      <c r="C613" s="39" t="s">
        <v>856</v>
      </c>
      <c r="D613" s="72">
        <v>180832423</v>
      </c>
      <c r="E613" s="73">
        <v>9198097539</v>
      </c>
      <c r="F613" s="39" t="s">
        <v>256</v>
      </c>
      <c r="G613" s="49">
        <v>37079</v>
      </c>
      <c r="H613" s="50" t="str">
        <f t="shared" si="18"/>
        <v>Jul</v>
      </c>
      <c r="I613" s="51">
        <f t="shared" ca="1" si="19"/>
        <v>15</v>
      </c>
      <c r="J613" s="52" t="s">
        <v>276</v>
      </c>
      <c r="K613" s="53">
        <v>95530</v>
      </c>
      <c r="L613" s="54">
        <v>2</v>
      </c>
      <c r="M613" s="55"/>
    </row>
    <row r="614" spans="1:13" x14ac:dyDescent="0.25">
      <c r="A614" s="39" t="s">
        <v>904</v>
      </c>
      <c r="B614" s="46" t="s">
        <v>266</v>
      </c>
      <c r="C614" s="39" t="s">
        <v>856</v>
      </c>
      <c r="D614" s="72">
        <v>781472289</v>
      </c>
      <c r="E614" s="73">
        <v>2528502926</v>
      </c>
      <c r="F614" s="39" t="s">
        <v>256</v>
      </c>
      <c r="G614" s="49">
        <v>34549</v>
      </c>
      <c r="H614" s="50" t="str">
        <f t="shared" si="18"/>
        <v>Aug</v>
      </c>
      <c r="I614" s="51">
        <f t="shared" ca="1" si="19"/>
        <v>22</v>
      </c>
      <c r="J614" s="52" t="s">
        <v>283</v>
      </c>
      <c r="K614" s="53">
        <v>75660</v>
      </c>
      <c r="L614" s="54">
        <v>3</v>
      </c>
      <c r="M614" s="55"/>
    </row>
    <row r="615" spans="1:13" x14ac:dyDescent="0.25">
      <c r="A615" s="39" t="s">
        <v>905</v>
      </c>
      <c r="B615" s="46" t="s">
        <v>245</v>
      </c>
      <c r="C615" s="39" t="s">
        <v>856</v>
      </c>
      <c r="D615" s="72">
        <v>855135948</v>
      </c>
      <c r="E615" s="73">
        <v>9196408497</v>
      </c>
      <c r="F615" s="39" t="s">
        <v>256</v>
      </c>
      <c r="G615" s="49">
        <v>40816</v>
      </c>
      <c r="H615" s="50" t="str">
        <f t="shared" si="18"/>
        <v>Sep</v>
      </c>
      <c r="I615" s="51">
        <f t="shared" ca="1" si="19"/>
        <v>5</v>
      </c>
      <c r="J615" s="52" t="s">
        <v>283</v>
      </c>
      <c r="K615" s="53">
        <v>86470</v>
      </c>
      <c r="L615" s="54">
        <v>2</v>
      </c>
      <c r="M615" s="55"/>
    </row>
    <row r="616" spans="1:13" x14ac:dyDescent="0.25">
      <c r="A616" s="39" t="s">
        <v>906</v>
      </c>
      <c r="B616" s="46" t="s">
        <v>280</v>
      </c>
      <c r="C616" s="39" t="s">
        <v>856</v>
      </c>
      <c r="D616" s="72">
        <v>531654742</v>
      </c>
      <c r="E616" s="73">
        <v>9195770085</v>
      </c>
      <c r="F616" s="39" t="s">
        <v>256</v>
      </c>
      <c r="G616" s="49">
        <v>38794</v>
      </c>
      <c r="H616" s="50" t="str">
        <f t="shared" si="18"/>
        <v>Mar</v>
      </c>
      <c r="I616" s="51">
        <f t="shared" ca="1" si="19"/>
        <v>10</v>
      </c>
      <c r="J616" s="52" t="s">
        <v>257</v>
      </c>
      <c r="K616" s="53">
        <v>35050</v>
      </c>
      <c r="L616" s="54">
        <v>5</v>
      </c>
      <c r="M616" s="55"/>
    </row>
    <row r="617" spans="1:13" x14ac:dyDescent="0.25">
      <c r="A617" s="39" t="s">
        <v>907</v>
      </c>
      <c r="B617" s="46" t="s">
        <v>251</v>
      </c>
      <c r="C617" s="39" t="s">
        <v>856</v>
      </c>
      <c r="D617" s="72">
        <v>593584018</v>
      </c>
      <c r="E617" s="73">
        <v>9194626281</v>
      </c>
      <c r="F617" s="39" t="s">
        <v>256</v>
      </c>
      <c r="G617" s="49">
        <v>34455</v>
      </c>
      <c r="H617" s="50" t="str">
        <f t="shared" si="18"/>
        <v>May</v>
      </c>
      <c r="I617" s="51">
        <f t="shared" ca="1" si="19"/>
        <v>22</v>
      </c>
      <c r="J617" s="52" t="s">
        <v>257</v>
      </c>
      <c r="K617" s="53">
        <v>81500</v>
      </c>
      <c r="L617" s="54">
        <v>4</v>
      </c>
      <c r="M617" s="55"/>
    </row>
    <row r="618" spans="1:13" x14ac:dyDescent="0.25">
      <c r="A618" s="39" t="s">
        <v>908</v>
      </c>
      <c r="B618" s="46" t="s">
        <v>285</v>
      </c>
      <c r="C618" s="39" t="s">
        <v>856</v>
      </c>
      <c r="D618" s="72">
        <v>195772503</v>
      </c>
      <c r="E618" s="73">
        <v>9193123940</v>
      </c>
      <c r="F618" s="39" t="s">
        <v>247</v>
      </c>
      <c r="G618" s="49">
        <v>34915</v>
      </c>
      <c r="H618" s="50" t="str">
        <f t="shared" si="18"/>
        <v>Aug</v>
      </c>
      <c r="I618" s="51">
        <f t="shared" ca="1" si="19"/>
        <v>21</v>
      </c>
      <c r="J618" s="52"/>
      <c r="K618" s="53">
        <v>66830</v>
      </c>
      <c r="L618" s="54">
        <v>2</v>
      </c>
      <c r="M618" s="55"/>
    </row>
    <row r="619" spans="1:13" x14ac:dyDescent="0.25">
      <c r="A619" s="39" t="s">
        <v>909</v>
      </c>
      <c r="B619" s="46" t="s">
        <v>285</v>
      </c>
      <c r="C619" s="39" t="s">
        <v>856</v>
      </c>
      <c r="D619" s="72">
        <v>693965055</v>
      </c>
      <c r="E619" s="73">
        <v>2527853314</v>
      </c>
      <c r="F619" s="39" t="s">
        <v>256</v>
      </c>
      <c r="G619" s="49">
        <v>34712</v>
      </c>
      <c r="H619" s="50" t="str">
        <f t="shared" si="18"/>
        <v>Jan</v>
      </c>
      <c r="I619" s="51">
        <f t="shared" ca="1" si="19"/>
        <v>21</v>
      </c>
      <c r="J619" s="52" t="s">
        <v>257</v>
      </c>
      <c r="K619" s="53">
        <v>82160</v>
      </c>
      <c r="L619" s="54">
        <v>4</v>
      </c>
      <c r="M619" s="55"/>
    </row>
    <row r="620" spans="1:13" x14ac:dyDescent="0.25">
      <c r="A620" s="39" t="s">
        <v>910</v>
      </c>
      <c r="B620" s="46" t="s">
        <v>245</v>
      </c>
      <c r="C620" s="39" t="s">
        <v>856</v>
      </c>
      <c r="D620" s="72">
        <v>649292883</v>
      </c>
      <c r="E620" s="73">
        <v>9198413896</v>
      </c>
      <c r="F620" s="39" t="s">
        <v>256</v>
      </c>
      <c r="G620" s="49">
        <v>39238</v>
      </c>
      <c r="H620" s="50" t="str">
        <f t="shared" si="18"/>
        <v>Jun</v>
      </c>
      <c r="I620" s="51">
        <f t="shared" ca="1" si="19"/>
        <v>9</v>
      </c>
      <c r="J620" s="52" t="s">
        <v>283</v>
      </c>
      <c r="K620" s="53">
        <v>38290</v>
      </c>
      <c r="L620" s="54">
        <v>5</v>
      </c>
      <c r="M620" s="55"/>
    </row>
    <row r="621" spans="1:13" x14ac:dyDescent="0.25">
      <c r="A621" s="39" t="s">
        <v>911</v>
      </c>
      <c r="B621" s="46" t="s">
        <v>280</v>
      </c>
      <c r="C621" s="39" t="s">
        <v>856</v>
      </c>
      <c r="D621" s="72">
        <v>619456809</v>
      </c>
      <c r="E621" s="73">
        <v>9196865606</v>
      </c>
      <c r="F621" s="39" t="s">
        <v>261</v>
      </c>
      <c r="G621" s="49">
        <v>36843</v>
      </c>
      <c r="H621" s="50" t="str">
        <f t="shared" si="18"/>
        <v>Nov</v>
      </c>
      <c r="I621" s="51">
        <f t="shared" ca="1" si="19"/>
        <v>16</v>
      </c>
      <c r="J621" s="52" t="s">
        <v>267</v>
      </c>
      <c r="K621" s="53">
        <v>47440</v>
      </c>
      <c r="L621" s="54">
        <v>5</v>
      </c>
      <c r="M621" s="55"/>
    </row>
    <row r="622" spans="1:13" x14ac:dyDescent="0.25">
      <c r="A622" s="39" t="s">
        <v>912</v>
      </c>
      <c r="B622" s="46" t="s">
        <v>245</v>
      </c>
      <c r="C622" s="39" t="s">
        <v>856</v>
      </c>
      <c r="D622" s="72">
        <v>426014550</v>
      </c>
      <c r="E622" s="73">
        <v>2522889182</v>
      </c>
      <c r="F622" s="39" t="s">
        <v>256</v>
      </c>
      <c r="G622" s="49">
        <v>36452</v>
      </c>
      <c r="H622" s="50" t="str">
        <f t="shared" si="18"/>
        <v>Oct</v>
      </c>
      <c r="I622" s="51">
        <f t="shared" ca="1" si="19"/>
        <v>17</v>
      </c>
      <c r="J622" s="52" t="s">
        <v>276</v>
      </c>
      <c r="K622" s="53">
        <v>75560</v>
      </c>
      <c r="L622" s="54">
        <v>1</v>
      </c>
      <c r="M622" s="55"/>
    </row>
    <row r="623" spans="1:13" x14ac:dyDescent="0.25">
      <c r="A623" s="39" t="s">
        <v>913</v>
      </c>
      <c r="B623" s="46" t="s">
        <v>245</v>
      </c>
      <c r="C623" s="39" t="s">
        <v>856</v>
      </c>
      <c r="D623" s="72">
        <v>288741910</v>
      </c>
      <c r="E623" s="73">
        <v>2522842668</v>
      </c>
      <c r="F623" s="39" t="s">
        <v>256</v>
      </c>
      <c r="G623" s="49">
        <v>37361</v>
      </c>
      <c r="H623" s="50" t="str">
        <f t="shared" si="18"/>
        <v>Apr</v>
      </c>
      <c r="I623" s="51">
        <f t="shared" ca="1" si="19"/>
        <v>14</v>
      </c>
      <c r="J623" s="52" t="s">
        <v>283</v>
      </c>
      <c r="K623" s="53">
        <v>80420</v>
      </c>
      <c r="L623" s="54">
        <v>1</v>
      </c>
      <c r="M623" s="55"/>
    </row>
    <row r="624" spans="1:13" x14ac:dyDescent="0.25">
      <c r="A624" s="39" t="s">
        <v>914</v>
      </c>
      <c r="B624" s="46" t="s">
        <v>245</v>
      </c>
      <c r="C624" s="39" t="s">
        <v>856</v>
      </c>
      <c r="D624" s="72">
        <v>357568979</v>
      </c>
      <c r="E624" s="73">
        <v>2524316324</v>
      </c>
      <c r="F624" s="39" t="s">
        <v>261</v>
      </c>
      <c r="G624" s="49">
        <v>38776</v>
      </c>
      <c r="H624" s="50" t="str">
        <f t="shared" si="18"/>
        <v>Feb</v>
      </c>
      <c r="I624" s="51">
        <f t="shared" ca="1" si="19"/>
        <v>10</v>
      </c>
      <c r="J624" s="52" t="s">
        <v>262</v>
      </c>
      <c r="K624" s="53">
        <v>34230</v>
      </c>
      <c r="L624" s="54">
        <v>4</v>
      </c>
      <c r="M624" s="55"/>
    </row>
    <row r="625" spans="1:13" x14ac:dyDescent="0.25">
      <c r="A625" s="39" t="s">
        <v>915</v>
      </c>
      <c r="B625" s="46" t="s">
        <v>285</v>
      </c>
      <c r="C625" s="39" t="s">
        <v>856</v>
      </c>
      <c r="D625" s="72">
        <v>393973492</v>
      </c>
      <c r="E625" s="73">
        <v>2522869792</v>
      </c>
      <c r="F625" s="39" t="s">
        <v>261</v>
      </c>
      <c r="G625" s="49">
        <v>37424</v>
      </c>
      <c r="H625" s="50" t="str">
        <f t="shared" si="18"/>
        <v>Jun</v>
      </c>
      <c r="I625" s="51">
        <f t="shared" ca="1" si="19"/>
        <v>14</v>
      </c>
      <c r="J625" s="52" t="s">
        <v>276</v>
      </c>
      <c r="K625" s="53">
        <v>56820</v>
      </c>
      <c r="L625" s="54">
        <v>1</v>
      </c>
      <c r="M625" s="55"/>
    </row>
    <row r="626" spans="1:13" x14ac:dyDescent="0.25">
      <c r="A626" s="39" t="s">
        <v>916</v>
      </c>
      <c r="B626" s="46" t="s">
        <v>285</v>
      </c>
      <c r="C626" s="39" t="s">
        <v>856</v>
      </c>
      <c r="D626" s="72">
        <v>744830329</v>
      </c>
      <c r="E626" s="73">
        <v>9196098293</v>
      </c>
      <c r="F626" s="39" t="s">
        <v>256</v>
      </c>
      <c r="G626" s="49">
        <v>35801</v>
      </c>
      <c r="H626" s="50" t="str">
        <f t="shared" si="18"/>
        <v>Jan</v>
      </c>
      <c r="I626" s="51">
        <f t="shared" ca="1" si="19"/>
        <v>18</v>
      </c>
      <c r="J626" s="52" t="s">
        <v>262</v>
      </c>
      <c r="K626" s="53">
        <v>99240</v>
      </c>
      <c r="L626" s="54">
        <v>3</v>
      </c>
      <c r="M626" s="55"/>
    </row>
    <row r="627" spans="1:13" x14ac:dyDescent="0.25">
      <c r="A627" s="39" t="s">
        <v>917</v>
      </c>
      <c r="B627" s="46" t="s">
        <v>285</v>
      </c>
      <c r="C627" s="39" t="s">
        <v>856</v>
      </c>
      <c r="D627" s="72">
        <v>125540405</v>
      </c>
      <c r="E627" s="73">
        <v>2524589262</v>
      </c>
      <c r="F627" s="39" t="s">
        <v>256</v>
      </c>
      <c r="G627" s="49">
        <v>37246</v>
      </c>
      <c r="H627" s="50" t="str">
        <f t="shared" si="18"/>
        <v>Dec</v>
      </c>
      <c r="I627" s="51">
        <f t="shared" ca="1" si="19"/>
        <v>14</v>
      </c>
      <c r="J627" s="52" t="s">
        <v>257</v>
      </c>
      <c r="K627" s="53">
        <v>70090</v>
      </c>
      <c r="L627" s="54">
        <v>5</v>
      </c>
      <c r="M627" s="55"/>
    </row>
    <row r="628" spans="1:13" x14ac:dyDescent="0.25">
      <c r="A628" s="39" t="s">
        <v>918</v>
      </c>
      <c r="B628" s="46" t="s">
        <v>251</v>
      </c>
      <c r="C628" s="39" t="s">
        <v>856</v>
      </c>
      <c r="D628" s="72">
        <v>626501093</v>
      </c>
      <c r="E628" s="73">
        <v>9192822520</v>
      </c>
      <c r="F628" s="39" t="s">
        <v>247</v>
      </c>
      <c r="G628" s="49">
        <v>39028</v>
      </c>
      <c r="H628" s="50" t="str">
        <f t="shared" si="18"/>
        <v>Nov</v>
      </c>
      <c r="I628" s="51">
        <f t="shared" ca="1" si="19"/>
        <v>10</v>
      </c>
      <c r="J628" s="52"/>
      <c r="K628" s="53">
        <v>77510</v>
      </c>
      <c r="L628" s="54">
        <v>1</v>
      </c>
      <c r="M628" s="55"/>
    </row>
    <row r="629" spans="1:13" x14ac:dyDescent="0.25">
      <c r="A629" s="39" t="s">
        <v>919</v>
      </c>
      <c r="B629" s="46" t="s">
        <v>245</v>
      </c>
      <c r="C629" s="39" t="s">
        <v>856</v>
      </c>
      <c r="D629" s="72">
        <v>186821354</v>
      </c>
      <c r="E629" s="73">
        <v>2528527032</v>
      </c>
      <c r="F629" s="39" t="s">
        <v>256</v>
      </c>
      <c r="G629" s="49">
        <v>35011</v>
      </c>
      <c r="H629" s="50" t="str">
        <f t="shared" si="18"/>
        <v>Nov</v>
      </c>
      <c r="I629" s="51">
        <f t="shared" ca="1" si="19"/>
        <v>21</v>
      </c>
      <c r="J629" s="52" t="s">
        <v>257</v>
      </c>
      <c r="K629" s="53">
        <v>65120</v>
      </c>
      <c r="L629" s="54">
        <v>3</v>
      </c>
      <c r="M629" s="55"/>
    </row>
    <row r="630" spans="1:13" x14ac:dyDescent="0.25">
      <c r="A630" s="39" t="s">
        <v>920</v>
      </c>
      <c r="B630" s="46" t="s">
        <v>280</v>
      </c>
      <c r="C630" s="39" t="s">
        <v>856</v>
      </c>
      <c r="D630" s="72">
        <v>269873478</v>
      </c>
      <c r="E630" s="73">
        <v>9198244224</v>
      </c>
      <c r="F630" s="39" t="s">
        <v>256</v>
      </c>
      <c r="G630" s="49">
        <v>36716</v>
      </c>
      <c r="H630" s="50" t="str">
        <f t="shared" si="18"/>
        <v>Jul</v>
      </c>
      <c r="I630" s="51">
        <f t="shared" ca="1" si="19"/>
        <v>16</v>
      </c>
      <c r="J630" s="52" t="s">
        <v>283</v>
      </c>
      <c r="K630" s="53">
        <v>38540</v>
      </c>
      <c r="L630" s="54">
        <v>1</v>
      </c>
      <c r="M630" s="55"/>
    </row>
    <row r="631" spans="1:13" x14ac:dyDescent="0.25">
      <c r="A631" s="39" t="s">
        <v>921</v>
      </c>
      <c r="B631" s="46" t="s">
        <v>245</v>
      </c>
      <c r="C631" s="39" t="s">
        <v>856</v>
      </c>
      <c r="D631" s="72">
        <v>518009092</v>
      </c>
      <c r="E631" s="73">
        <v>2528792521</v>
      </c>
      <c r="F631" s="39" t="s">
        <v>252</v>
      </c>
      <c r="G631" s="49">
        <v>36870</v>
      </c>
      <c r="H631" s="50" t="str">
        <f t="shared" si="18"/>
        <v>Dec</v>
      </c>
      <c r="I631" s="51">
        <f t="shared" ca="1" si="19"/>
        <v>15</v>
      </c>
      <c r="J631" s="52"/>
      <c r="K631" s="53">
        <v>21490</v>
      </c>
      <c r="L631" s="54">
        <v>5</v>
      </c>
      <c r="M631" s="55"/>
    </row>
    <row r="632" spans="1:13" x14ac:dyDescent="0.25">
      <c r="A632" s="39" t="s">
        <v>922</v>
      </c>
      <c r="B632" s="46" t="s">
        <v>245</v>
      </c>
      <c r="C632" s="39" t="s">
        <v>856</v>
      </c>
      <c r="D632" s="72">
        <v>765836666</v>
      </c>
      <c r="E632" s="73">
        <v>2525013435</v>
      </c>
      <c r="F632" s="39" t="s">
        <v>256</v>
      </c>
      <c r="G632" s="49">
        <v>40154</v>
      </c>
      <c r="H632" s="50" t="str">
        <f t="shared" si="18"/>
        <v>Dec</v>
      </c>
      <c r="I632" s="51">
        <f t="shared" ca="1" si="19"/>
        <v>6</v>
      </c>
      <c r="J632" s="52" t="s">
        <v>283</v>
      </c>
      <c r="K632" s="53">
        <v>52320</v>
      </c>
      <c r="L632" s="54">
        <v>5</v>
      </c>
      <c r="M632" s="55"/>
    </row>
    <row r="633" spans="1:13" x14ac:dyDescent="0.25">
      <c r="A633" s="39" t="s">
        <v>923</v>
      </c>
      <c r="B633" s="46" t="s">
        <v>285</v>
      </c>
      <c r="C633" s="39" t="s">
        <v>856</v>
      </c>
      <c r="D633" s="72">
        <v>647131956</v>
      </c>
      <c r="E633" s="73">
        <v>2521240785</v>
      </c>
      <c r="F633" s="39" t="s">
        <v>256</v>
      </c>
      <c r="G633" s="49">
        <v>39903</v>
      </c>
      <c r="H633" s="50" t="str">
        <f t="shared" si="18"/>
        <v>Mar</v>
      </c>
      <c r="I633" s="51">
        <f t="shared" ca="1" si="19"/>
        <v>7</v>
      </c>
      <c r="J633" s="52" t="s">
        <v>257</v>
      </c>
      <c r="K633" s="53">
        <v>88270</v>
      </c>
      <c r="L633" s="54">
        <v>3</v>
      </c>
      <c r="M633" s="55"/>
    </row>
    <row r="634" spans="1:13" x14ac:dyDescent="0.25">
      <c r="A634" s="39" t="s">
        <v>924</v>
      </c>
      <c r="B634" s="46" t="s">
        <v>285</v>
      </c>
      <c r="C634" s="39" t="s">
        <v>856</v>
      </c>
      <c r="D634" s="72">
        <v>984881714</v>
      </c>
      <c r="E634" s="73">
        <v>9196973131</v>
      </c>
      <c r="F634" s="39" t="s">
        <v>256</v>
      </c>
      <c r="G634" s="49">
        <v>36409</v>
      </c>
      <c r="H634" s="50" t="str">
        <f t="shared" si="18"/>
        <v>Sep</v>
      </c>
      <c r="I634" s="51">
        <f t="shared" ca="1" si="19"/>
        <v>17</v>
      </c>
      <c r="J634" s="52" t="s">
        <v>283</v>
      </c>
      <c r="K634" s="53">
        <v>41200</v>
      </c>
      <c r="L634" s="54">
        <v>3</v>
      </c>
      <c r="M634" s="55"/>
    </row>
    <row r="635" spans="1:13" x14ac:dyDescent="0.25">
      <c r="A635" s="39" t="s">
        <v>925</v>
      </c>
      <c r="B635" s="46" t="s">
        <v>271</v>
      </c>
      <c r="C635" s="39" t="s">
        <v>856</v>
      </c>
      <c r="D635" s="72">
        <v>627977314</v>
      </c>
      <c r="E635" s="73">
        <v>2521525844</v>
      </c>
      <c r="F635" s="39" t="s">
        <v>256</v>
      </c>
      <c r="G635" s="49">
        <v>34853</v>
      </c>
      <c r="H635" s="50" t="str">
        <f t="shared" si="18"/>
        <v>Jun</v>
      </c>
      <c r="I635" s="51">
        <f t="shared" ca="1" si="19"/>
        <v>21</v>
      </c>
      <c r="J635" s="52" t="s">
        <v>276</v>
      </c>
      <c r="K635" s="53">
        <v>103490</v>
      </c>
      <c r="L635" s="54">
        <v>1</v>
      </c>
      <c r="M635" s="55"/>
    </row>
    <row r="636" spans="1:13" x14ac:dyDescent="0.25">
      <c r="A636" s="39" t="s">
        <v>926</v>
      </c>
      <c r="B636" s="46" t="s">
        <v>251</v>
      </c>
      <c r="C636" s="39" t="s">
        <v>856</v>
      </c>
      <c r="D636" s="72">
        <v>368385341</v>
      </c>
      <c r="E636" s="73">
        <v>9195526537</v>
      </c>
      <c r="F636" s="39" t="s">
        <v>247</v>
      </c>
      <c r="G636" s="49">
        <v>38083</v>
      </c>
      <c r="H636" s="50" t="str">
        <f t="shared" si="18"/>
        <v>Apr</v>
      </c>
      <c r="I636" s="51">
        <f t="shared" ca="1" si="19"/>
        <v>12</v>
      </c>
      <c r="J636" s="52"/>
      <c r="K636" s="53">
        <v>56140</v>
      </c>
      <c r="L636" s="54">
        <v>2</v>
      </c>
      <c r="M636" s="55"/>
    </row>
    <row r="637" spans="1:13" x14ac:dyDescent="0.25">
      <c r="A637" s="39" t="s">
        <v>927</v>
      </c>
      <c r="B637" s="46" t="s">
        <v>271</v>
      </c>
      <c r="C637" s="39" t="s">
        <v>856</v>
      </c>
      <c r="D637" s="72">
        <v>668708287</v>
      </c>
      <c r="E637" s="73">
        <v>9191952821</v>
      </c>
      <c r="F637" s="39" t="s">
        <v>247</v>
      </c>
      <c r="G637" s="49">
        <v>36807</v>
      </c>
      <c r="H637" s="50" t="str">
        <f t="shared" si="18"/>
        <v>Oct</v>
      </c>
      <c r="I637" s="51">
        <f t="shared" ca="1" si="19"/>
        <v>16</v>
      </c>
      <c r="J637" s="52"/>
      <c r="K637" s="53">
        <v>103320</v>
      </c>
      <c r="L637" s="54">
        <v>4</v>
      </c>
      <c r="M637" s="55"/>
    </row>
    <row r="638" spans="1:13" x14ac:dyDescent="0.25">
      <c r="A638" s="39" t="s">
        <v>928</v>
      </c>
      <c r="B638" s="46" t="s">
        <v>271</v>
      </c>
      <c r="C638" s="39" t="s">
        <v>856</v>
      </c>
      <c r="D638" s="72">
        <v>272659955</v>
      </c>
      <c r="E638" s="73">
        <v>9194127875</v>
      </c>
      <c r="F638" s="39" t="s">
        <v>256</v>
      </c>
      <c r="G638" s="49">
        <v>35286</v>
      </c>
      <c r="H638" s="50" t="str">
        <f t="shared" si="18"/>
        <v>Aug</v>
      </c>
      <c r="I638" s="51">
        <f t="shared" ca="1" si="19"/>
        <v>20</v>
      </c>
      <c r="J638" s="52" t="s">
        <v>267</v>
      </c>
      <c r="K638" s="53">
        <v>58190</v>
      </c>
      <c r="L638" s="54">
        <v>2</v>
      </c>
      <c r="M638" s="55"/>
    </row>
    <row r="639" spans="1:13" x14ac:dyDescent="0.25">
      <c r="A639" s="39" t="s">
        <v>929</v>
      </c>
      <c r="B639" s="46" t="s">
        <v>285</v>
      </c>
      <c r="C639" s="39" t="s">
        <v>930</v>
      </c>
      <c r="D639" s="72">
        <v>695198896</v>
      </c>
      <c r="E639" s="73">
        <v>2523533906</v>
      </c>
      <c r="F639" s="39" t="s">
        <v>247</v>
      </c>
      <c r="G639" s="49">
        <v>36827</v>
      </c>
      <c r="H639" s="50" t="str">
        <f t="shared" si="18"/>
        <v>Oct</v>
      </c>
      <c r="I639" s="51">
        <f t="shared" ca="1" si="19"/>
        <v>16</v>
      </c>
      <c r="J639" s="52"/>
      <c r="K639" s="53">
        <v>54040</v>
      </c>
      <c r="L639" s="54">
        <v>3</v>
      </c>
      <c r="M639" s="55"/>
    </row>
    <row r="640" spans="1:13" x14ac:dyDescent="0.25">
      <c r="A640" s="39" t="s">
        <v>931</v>
      </c>
      <c r="B640" s="46" t="s">
        <v>285</v>
      </c>
      <c r="C640" s="39" t="s">
        <v>930</v>
      </c>
      <c r="D640" s="72">
        <v>380304349</v>
      </c>
      <c r="E640" s="73">
        <v>2526129939</v>
      </c>
      <c r="F640" s="39" t="s">
        <v>256</v>
      </c>
      <c r="G640" s="49">
        <v>37550</v>
      </c>
      <c r="H640" s="50" t="str">
        <f t="shared" si="18"/>
        <v>Oct</v>
      </c>
      <c r="I640" s="51">
        <f t="shared" ca="1" si="19"/>
        <v>14</v>
      </c>
      <c r="J640" s="52" t="s">
        <v>283</v>
      </c>
      <c r="K640" s="53">
        <v>42550</v>
      </c>
      <c r="L640" s="54">
        <v>1</v>
      </c>
      <c r="M640" s="55"/>
    </row>
    <row r="641" spans="1:13" x14ac:dyDescent="0.25">
      <c r="A641" s="39" t="s">
        <v>932</v>
      </c>
      <c r="B641" s="46" t="s">
        <v>266</v>
      </c>
      <c r="C641" s="39" t="s">
        <v>930</v>
      </c>
      <c r="D641" s="72">
        <v>758001890</v>
      </c>
      <c r="E641" s="73">
        <v>2521202348</v>
      </c>
      <c r="F641" s="39" t="s">
        <v>261</v>
      </c>
      <c r="G641" s="49">
        <v>36298</v>
      </c>
      <c r="H641" s="50" t="str">
        <f t="shared" si="18"/>
        <v>May</v>
      </c>
      <c r="I641" s="51">
        <f t="shared" ca="1" si="19"/>
        <v>17</v>
      </c>
      <c r="J641" s="52" t="s">
        <v>283</v>
      </c>
      <c r="K641" s="53">
        <v>45730</v>
      </c>
      <c r="L641" s="54">
        <v>2</v>
      </c>
      <c r="M641" s="55"/>
    </row>
    <row r="642" spans="1:13" x14ac:dyDescent="0.25">
      <c r="A642" s="39" t="s">
        <v>933</v>
      </c>
      <c r="B642" s="46" t="s">
        <v>285</v>
      </c>
      <c r="C642" s="39" t="s">
        <v>930</v>
      </c>
      <c r="D642" s="72">
        <v>163350417</v>
      </c>
      <c r="E642" s="73">
        <v>2526466230</v>
      </c>
      <c r="F642" s="39" t="s">
        <v>256</v>
      </c>
      <c r="G642" s="49">
        <v>37673</v>
      </c>
      <c r="H642" s="50" t="str">
        <f t="shared" ref="H642:H705" si="20">CHOOSE(MONTH(G642),"Jan","Feb","Mar","Apr","May","Jun","Jul","Aug","Sep","Oct","Nov","Dec")</f>
        <v>Feb</v>
      </c>
      <c r="I642" s="51">
        <f t="shared" ref="I642:I705" ca="1" si="21">DATEDIF(G642,TODAY(),"Y")</f>
        <v>13</v>
      </c>
      <c r="J642" s="52" t="s">
        <v>262</v>
      </c>
      <c r="K642" s="53">
        <v>78380</v>
      </c>
      <c r="L642" s="54">
        <v>5</v>
      </c>
      <c r="M642" s="55"/>
    </row>
    <row r="643" spans="1:13" x14ac:dyDescent="0.25">
      <c r="A643" s="39" t="s">
        <v>934</v>
      </c>
      <c r="B643" s="46" t="s">
        <v>245</v>
      </c>
      <c r="C643" s="39" t="s">
        <v>930</v>
      </c>
      <c r="D643" s="72">
        <v>247422007</v>
      </c>
      <c r="E643" s="73">
        <v>2528012440</v>
      </c>
      <c r="F643" s="39" t="s">
        <v>247</v>
      </c>
      <c r="G643" s="49">
        <v>37194</v>
      </c>
      <c r="H643" s="50" t="str">
        <f t="shared" si="20"/>
        <v>Oct</v>
      </c>
      <c r="I643" s="51">
        <f t="shared" ca="1" si="21"/>
        <v>15</v>
      </c>
      <c r="J643" s="52"/>
      <c r="K643" s="53">
        <v>69900</v>
      </c>
      <c r="L643" s="54">
        <v>2</v>
      </c>
      <c r="M643" s="55"/>
    </row>
    <row r="644" spans="1:13" x14ac:dyDescent="0.25">
      <c r="A644" s="39" t="s">
        <v>935</v>
      </c>
      <c r="B644" s="46" t="s">
        <v>280</v>
      </c>
      <c r="C644" s="39" t="s">
        <v>930</v>
      </c>
      <c r="D644" s="72">
        <v>426812736</v>
      </c>
      <c r="E644" s="73">
        <v>9198399625</v>
      </c>
      <c r="F644" s="39" t="s">
        <v>247</v>
      </c>
      <c r="G644" s="49">
        <v>35160</v>
      </c>
      <c r="H644" s="50" t="str">
        <f t="shared" si="20"/>
        <v>Apr</v>
      </c>
      <c r="I644" s="51">
        <f t="shared" ca="1" si="21"/>
        <v>20</v>
      </c>
      <c r="J644" s="52"/>
      <c r="K644" s="53">
        <v>42290</v>
      </c>
      <c r="L644" s="54">
        <v>3</v>
      </c>
      <c r="M644" s="55"/>
    </row>
    <row r="645" spans="1:13" x14ac:dyDescent="0.25">
      <c r="A645" s="39" t="s">
        <v>936</v>
      </c>
      <c r="B645" s="46" t="s">
        <v>245</v>
      </c>
      <c r="C645" s="39" t="s">
        <v>930</v>
      </c>
      <c r="D645" s="72">
        <v>741258203</v>
      </c>
      <c r="E645" s="73">
        <v>9195157707</v>
      </c>
      <c r="F645" s="39" t="s">
        <v>247</v>
      </c>
      <c r="G645" s="49">
        <v>34790</v>
      </c>
      <c r="H645" s="50" t="str">
        <f t="shared" si="20"/>
        <v>Apr</v>
      </c>
      <c r="I645" s="51">
        <f t="shared" ca="1" si="21"/>
        <v>21</v>
      </c>
      <c r="J645" s="52"/>
      <c r="K645" s="53">
        <v>70950</v>
      </c>
      <c r="L645" s="54">
        <v>4</v>
      </c>
      <c r="M645" s="55"/>
    </row>
    <row r="646" spans="1:13" x14ac:dyDescent="0.25">
      <c r="A646" s="39" t="s">
        <v>937</v>
      </c>
      <c r="B646" s="46" t="s">
        <v>285</v>
      </c>
      <c r="C646" s="39" t="s">
        <v>930</v>
      </c>
      <c r="D646" s="72">
        <v>101829876</v>
      </c>
      <c r="E646" s="73">
        <v>2522552565</v>
      </c>
      <c r="F646" s="39" t="s">
        <v>252</v>
      </c>
      <c r="G646" s="49">
        <v>36248</v>
      </c>
      <c r="H646" s="50" t="str">
        <f t="shared" si="20"/>
        <v>Mar</v>
      </c>
      <c r="I646" s="51">
        <f t="shared" ca="1" si="21"/>
        <v>17</v>
      </c>
      <c r="J646" s="52"/>
      <c r="K646" s="53">
        <v>40500</v>
      </c>
      <c r="L646" s="54">
        <v>3</v>
      </c>
      <c r="M646" s="55"/>
    </row>
    <row r="647" spans="1:13" x14ac:dyDescent="0.25">
      <c r="A647" s="39" t="s">
        <v>938</v>
      </c>
      <c r="B647" s="46" t="s">
        <v>285</v>
      </c>
      <c r="C647" s="39" t="s">
        <v>930</v>
      </c>
      <c r="D647" s="72">
        <v>324069262</v>
      </c>
      <c r="E647" s="73">
        <v>2525459665</v>
      </c>
      <c r="F647" s="39" t="s">
        <v>247</v>
      </c>
      <c r="G647" s="49">
        <v>35535</v>
      </c>
      <c r="H647" s="50" t="str">
        <f t="shared" si="20"/>
        <v>Apr</v>
      </c>
      <c r="I647" s="51">
        <f t="shared" ca="1" si="21"/>
        <v>19</v>
      </c>
      <c r="J647" s="52"/>
      <c r="K647" s="53">
        <v>54130</v>
      </c>
      <c r="L647" s="54">
        <v>1</v>
      </c>
      <c r="M647" s="55"/>
    </row>
    <row r="648" spans="1:13" x14ac:dyDescent="0.25">
      <c r="A648" s="39" t="s">
        <v>939</v>
      </c>
      <c r="B648" s="46" t="s">
        <v>251</v>
      </c>
      <c r="C648" s="39" t="s">
        <v>930</v>
      </c>
      <c r="D648" s="72">
        <v>995590510</v>
      </c>
      <c r="E648" s="73">
        <v>9191838930</v>
      </c>
      <c r="F648" s="39" t="s">
        <v>247</v>
      </c>
      <c r="G648" s="49">
        <v>41639</v>
      </c>
      <c r="H648" s="50" t="str">
        <f t="shared" si="20"/>
        <v>Dec</v>
      </c>
      <c r="I648" s="51">
        <f t="shared" ca="1" si="21"/>
        <v>2</v>
      </c>
      <c r="J648" s="52"/>
      <c r="K648" s="53">
        <v>51590</v>
      </c>
      <c r="L648" s="54">
        <v>4</v>
      </c>
      <c r="M648" s="55"/>
    </row>
    <row r="649" spans="1:13" x14ac:dyDescent="0.25">
      <c r="A649" s="39" t="s">
        <v>940</v>
      </c>
      <c r="B649" s="46" t="s">
        <v>285</v>
      </c>
      <c r="C649" s="39" t="s">
        <v>930</v>
      </c>
      <c r="D649" s="72">
        <v>771110153</v>
      </c>
      <c r="E649" s="73">
        <v>9196799516</v>
      </c>
      <c r="F649" s="39" t="s">
        <v>256</v>
      </c>
      <c r="G649" s="49">
        <v>40284</v>
      </c>
      <c r="H649" s="50" t="str">
        <f t="shared" si="20"/>
        <v>Apr</v>
      </c>
      <c r="I649" s="51">
        <f t="shared" ca="1" si="21"/>
        <v>6</v>
      </c>
      <c r="J649" s="52" t="s">
        <v>257</v>
      </c>
      <c r="K649" s="53">
        <v>29980</v>
      </c>
      <c r="L649" s="54">
        <v>3</v>
      </c>
      <c r="M649" s="55"/>
    </row>
    <row r="650" spans="1:13" x14ac:dyDescent="0.25">
      <c r="A650" s="39" t="s">
        <v>941</v>
      </c>
      <c r="B650" s="46" t="s">
        <v>266</v>
      </c>
      <c r="C650" s="39" t="s">
        <v>930</v>
      </c>
      <c r="D650" s="72">
        <v>147683641</v>
      </c>
      <c r="E650" s="73">
        <v>9191657646</v>
      </c>
      <c r="F650" s="39" t="s">
        <v>247</v>
      </c>
      <c r="G650" s="49">
        <v>41335</v>
      </c>
      <c r="H650" s="50" t="str">
        <f t="shared" si="20"/>
        <v>Mar</v>
      </c>
      <c r="I650" s="51">
        <f t="shared" ca="1" si="21"/>
        <v>3</v>
      </c>
      <c r="J650" s="52"/>
      <c r="K650" s="53">
        <v>56740</v>
      </c>
      <c r="L650" s="54">
        <v>1</v>
      </c>
      <c r="M650" s="55"/>
    </row>
    <row r="651" spans="1:13" x14ac:dyDescent="0.25">
      <c r="A651" s="39" t="s">
        <v>942</v>
      </c>
      <c r="B651" s="46" t="s">
        <v>271</v>
      </c>
      <c r="C651" s="39" t="s">
        <v>930</v>
      </c>
      <c r="D651" s="72">
        <v>918436287</v>
      </c>
      <c r="E651" s="73">
        <v>2528238755</v>
      </c>
      <c r="F651" s="39" t="s">
        <v>247</v>
      </c>
      <c r="G651" s="49">
        <v>34194</v>
      </c>
      <c r="H651" s="50" t="str">
        <f t="shared" si="20"/>
        <v>Aug</v>
      </c>
      <c r="I651" s="51">
        <f t="shared" ca="1" si="21"/>
        <v>23</v>
      </c>
      <c r="J651" s="52"/>
      <c r="K651" s="53">
        <v>76330</v>
      </c>
      <c r="L651" s="54">
        <v>5</v>
      </c>
      <c r="M651" s="55"/>
    </row>
    <row r="652" spans="1:13" x14ac:dyDescent="0.25">
      <c r="A652" s="39" t="s">
        <v>943</v>
      </c>
      <c r="B652" s="46" t="s">
        <v>285</v>
      </c>
      <c r="C652" s="39" t="s">
        <v>930</v>
      </c>
      <c r="D652" s="72">
        <v>249416723</v>
      </c>
      <c r="E652" s="73">
        <v>2521628807</v>
      </c>
      <c r="F652" s="39" t="s">
        <v>256</v>
      </c>
      <c r="G652" s="49">
        <v>37026</v>
      </c>
      <c r="H652" s="50" t="str">
        <f t="shared" si="20"/>
        <v>May</v>
      </c>
      <c r="I652" s="51">
        <f t="shared" ca="1" si="21"/>
        <v>15</v>
      </c>
      <c r="J652" s="52" t="s">
        <v>262</v>
      </c>
      <c r="K652" s="53">
        <v>77360</v>
      </c>
      <c r="L652" s="54">
        <v>5</v>
      </c>
      <c r="M652" s="55"/>
    </row>
    <row r="653" spans="1:13" x14ac:dyDescent="0.25">
      <c r="A653" s="39" t="s">
        <v>944</v>
      </c>
      <c r="B653" s="46" t="s">
        <v>280</v>
      </c>
      <c r="C653" s="39" t="s">
        <v>930</v>
      </c>
      <c r="D653" s="72">
        <v>658842625</v>
      </c>
      <c r="E653" s="73">
        <v>9193788281</v>
      </c>
      <c r="F653" s="39" t="s">
        <v>261</v>
      </c>
      <c r="G653" s="49">
        <v>37054</v>
      </c>
      <c r="H653" s="50" t="str">
        <f t="shared" si="20"/>
        <v>Jun</v>
      </c>
      <c r="I653" s="51">
        <f t="shared" ca="1" si="21"/>
        <v>15</v>
      </c>
      <c r="J653" s="52" t="s">
        <v>276</v>
      </c>
      <c r="K653" s="53">
        <v>55330</v>
      </c>
      <c r="L653" s="54">
        <v>5</v>
      </c>
      <c r="M653" s="55"/>
    </row>
    <row r="654" spans="1:13" x14ac:dyDescent="0.25">
      <c r="A654" s="39" t="s">
        <v>945</v>
      </c>
      <c r="B654" s="46" t="s">
        <v>285</v>
      </c>
      <c r="C654" s="39" t="s">
        <v>930</v>
      </c>
      <c r="D654" s="72">
        <v>800685434</v>
      </c>
      <c r="E654" s="73">
        <v>2525821616</v>
      </c>
      <c r="F654" s="39" t="s">
        <v>256</v>
      </c>
      <c r="G654" s="49">
        <v>37957</v>
      </c>
      <c r="H654" s="50" t="str">
        <f t="shared" si="20"/>
        <v>Dec</v>
      </c>
      <c r="I654" s="51">
        <f t="shared" ca="1" si="21"/>
        <v>12</v>
      </c>
      <c r="J654" s="52" t="s">
        <v>276</v>
      </c>
      <c r="K654" s="53">
        <v>59920</v>
      </c>
      <c r="L654" s="54">
        <v>1</v>
      </c>
      <c r="M654" s="55"/>
    </row>
    <row r="655" spans="1:13" x14ac:dyDescent="0.25">
      <c r="A655" s="39" t="s">
        <v>946</v>
      </c>
      <c r="B655" s="46" t="s">
        <v>285</v>
      </c>
      <c r="C655" s="39" t="s">
        <v>930</v>
      </c>
      <c r="D655" s="72">
        <v>177324163</v>
      </c>
      <c r="E655" s="73">
        <v>2527091949</v>
      </c>
      <c r="F655" s="39" t="s">
        <v>256</v>
      </c>
      <c r="G655" s="49">
        <v>38811</v>
      </c>
      <c r="H655" s="50" t="str">
        <f t="shared" si="20"/>
        <v>Apr</v>
      </c>
      <c r="I655" s="51">
        <f t="shared" ca="1" si="21"/>
        <v>10</v>
      </c>
      <c r="J655" s="52" t="s">
        <v>283</v>
      </c>
      <c r="K655" s="53">
        <v>57610</v>
      </c>
      <c r="L655" s="54">
        <v>3</v>
      </c>
      <c r="M655" s="55"/>
    </row>
    <row r="656" spans="1:13" x14ac:dyDescent="0.25">
      <c r="A656" s="39" t="s">
        <v>947</v>
      </c>
      <c r="B656" s="46" t="s">
        <v>271</v>
      </c>
      <c r="C656" s="39" t="s">
        <v>930</v>
      </c>
      <c r="D656" s="72">
        <v>693214759</v>
      </c>
      <c r="E656" s="73">
        <v>9192683895</v>
      </c>
      <c r="F656" s="39" t="s">
        <v>256</v>
      </c>
      <c r="G656" s="49">
        <v>34807</v>
      </c>
      <c r="H656" s="50" t="str">
        <f t="shared" si="20"/>
        <v>Apr</v>
      </c>
      <c r="I656" s="51">
        <f t="shared" ca="1" si="21"/>
        <v>21</v>
      </c>
      <c r="J656" s="52" t="s">
        <v>262</v>
      </c>
      <c r="K656" s="53">
        <v>75340</v>
      </c>
      <c r="L656" s="54">
        <v>3</v>
      </c>
      <c r="M656" s="55"/>
    </row>
    <row r="657" spans="1:13" x14ac:dyDescent="0.25">
      <c r="A657" s="39" t="s">
        <v>948</v>
      </c>
      <c r="B657" s="46" t="s">
        <v>285</v>
      </c>
      <c r="C657" s="39" t="s">
        <v>930</v>
      </c>
      <c r="D657" s="72">
        <v>891224981</v>
      </c>
      <c r="E657" s="73">
        <v>2526391402</v>
      </c>
      <c r="F657" s="39" t="s">
        <v>261</v>
      </c>
      <c r="G657" s="49">
        <v>35141</v>
      </c>
      <c r="H657" s="50" t="str">
        <f t="shared" si="20"/>
        <v>Mar</v>
      </c>
      <c r="I657" s="51">
        <f t="shared" ca="1" si="21"/>
        <v>20</v>
      </c>
      <c r="J657" s="52" t="s">
        <v>276</v>
      </c>
      <c r="K657" s="53">
        <v>13480</v>
      </c>
      <c r="L657" s="54">
        <v>4</v>
      </c>
      <c r="M657" s="55"/>
    </row>
    <row r="658" spans="1:13" x14ac:dyDescent="0.25">
      <c r="A658" s="39" t="s">
        <v>949</v>
      </c>
      <c r="B658" s="46" t="s">
        <v>285</v>
      </c>
      <c r="C658" s="39" t="s">
        <v>930</v>
      </c>
      <c r="D658" s="72">
        <v>794814501</v>
      </c>
      <c r="E658" s="73">
        <v>2525604891</v>
      </c>
      <c r="F658" s="39" t="s">
        <v>247</v>
      </c>
      <c r="G658" s="49">
        <v>41236</v>
      </c>
      <c r="H658" s="50" t="str">
        <f t="shared" si="20"/>
        <v>Nov</v>
      </c>
      <c r="I658" s="51">
        <f t="shared" ca="1" si="21"/>
        <v>3</v>
      </c>
      <c r="J658" s="52"/>
      <c r="K658" s="53">
        <v>96870</v>
      </c>
      <c r="L658" s="54">
        <v>3</v>
      </c>
      <c r="M658" s="55"/>
    </row>
    <row r="659" spans="1:13" x14ac:dyDescent="0.25">
      <c r="A659" s="39" t="s">
        <v>950</v>
      </c>
      <c r="B659" s="46" t="s">
        <v>271</v>
      </c>
      <c r="C659" s="39" t="s">
        <v>930</v>
      </c>
      <c r="D659" s="72">
        <v>595022550</v>
      </c>
      <c r="E659" s="73">
        <v>9195621928</v>
      </c>
      <c r="F659" s="39" t="s">
        <v>256</v>
      </c>
      <c r="G659" s="49">
        <v>34958</v>
      </c>
      <c r="H659" s="50" t="str">
        <f t="shared" si="20"/>
        <v>Sep</v>
      </c>
      <c r="I659" s="51">
        <f t="shared" ca="1" si="21"/>
        <v>21</v>
      </c>
      <c r="J659" s="52" t="s">
        <v>262</v>
      </c>
      <c r="K659" s="53">
        <v>71390</v>
      </c>
      <c r="L659" s="54">
        <v>3</v>
      </c>
      <c r="M659" s="55"/>
    </row>
    <row r="660" spans="1:13" x14ac:dyDescent="0.25">
      <c r="A660" s="39" t="s">
        <v>951</v>
      </c>
      <c r="B660" s="46" t="s">
        <v>245</v>
      </c>
      <c r="C660" s="39" t="s">
        <v>930</v>
      </c>
      <c r="D660" s="72">
        <v>210491464</v>
      </c>
      <c r="E660" s="73">
        <v>9198405552</v>
      </c>
      <c r="F660" s="39" t="s">
        <v>256</v>
      </c>
      <c r="G660" s="49">
        <v>40603</v>
      </c>
      <c r="H660" s="50" t="str">
        <f t="shared" si="20"/>
        <v>Mar</v>
      </c>
      <c r="I660" s="51">
        <f t="shared" ca="1" si="21"/>
        <v>5</v>
      </c>
      <c r="J660" s="52" t="s">
        <v>257</v>
      </c>
      <c r="K660" s="53">
        <v>95260</v>
      </c>
      <c r="L660" s="54">
        <v>5</v>
      </c>
      <c r="M660" s="55"/>
    </row>
    <row r="661" spans="1:13" x14ac:dyDescent="0.25">
      <c r="A661" s="39" t="s">
        <v>952</v>
      </c>
      <c r="B661" s="46" t="s">
        <v>285</v>
      </c>
      <c r="C661" s="39" t="s">
        <v>930</v>
      </c>
      <c r="D661" s="72">
        <v>656572514</v>
      </c>
      <c r="E661" s="73">
        <v>9193679666</v>
      </c>
      <c r="F661" s="39" t="s">
        <v>247</v>
      </c>
      <c r="G661" s="49">
        <v>34975</v>
      </c>
      <c r="H661" s="50" t="str">
        <f t="shared" si="20"/>
        <v>Oct</v>
      </c>
      <c r="I661" s="51">
        <f t="shared" ca="1" si="21"/>
        <v>21</v>
      </c>
      <c r="J661" s="52"/>
      <c r="K661" s="53">
        <v>84180</v>
      </c>
      <c r="L661" s="54">
        <v>2</v>
      </c>
      <c r="M661" s="55"/>
    </row>
    <row r="662" spans="1:13" x14ac:dyDescent="0.25">
      <c r="A662" s="39" t="s">
        <v>953</v>
      </c>
      <c r="B662" s="46" t="s">
        <v>285</v>
      </c>
      <c r="C662" s="39" t="s">
        <v>930</v>
      </c>
      <c r="D662" s="72">
        <v>904497673</v>
      </c>
      <c r="E662" s="73">
        <v>2521277028</v>
      </c>
      <c r="F662" s="39" t="s">
        <v>247</v>
      </c>
      <c r="G662" s="49">
        <v>34145</v>
      </c>
      <c r="H662" s="50" t="str">
        <f t="shared" si="20"/>
        <v>Jun</v>
      </c>
      <c r="I662" s="51">
        <f t="shared" ca="1" si="21"/>
        <v>23</v>
      </c>
      <c r="J662" s="52"/>
      <c r="K662" s="53">
        <v>28010</v>
      </c>
      <c r="L662" s="54">
        <v>4</v>
      </c>
      <c r="M662" s="55"/>
    </row>
    <row r="663" spans="1:13" x14ac:dyDescent="0.25">
      <c r="A663" s="39" t="s">
        <v>954</v>
      </c>
      <c r="B663" s="46" t="s">
        <v>280</v>
      </c>
      <c r="C663" s="39" t="s">
        <v>930</v>
      </c>
      <c r="D663" s="72">
        <v>364525917</v>
      </c>
      <c r="E663" s="73">
        <v>2522787318</v>
      </c>
      <c r="F663" s="39" t="s">
        <v>256</v>
      </c>
      <c r="G663" s="49">
        <v>34979</v>
      </c>
      <c r="H663" s="50" t="str">
        <f t="shared" si="20"/>
        <v>Oct</v>
      </c>
      <c r="I663" s="51">
        <f t="shared" ca="1" si="21"/>
        <v>21</v>
      </c>
      <c r="J663" s="52" t="s">
        <v>283</v>
      </c>
      <c r="K663" s="53">
        <v>55690</v>
      </c>
      <c r="L663" s="54">
        <v>2</v>
      </c>
      <c r="M663" s="55"/>
    </row>
    <row r="664" spans="1:13" x14ac:dyDescent="0.25">
      <c r="A664" s="39" t="s">
        <v>955</v>
      </c>
      <c r="B664" s="46" t="s">
        <v>251</v>
      </c>
      <c r="C664" s="39" t="s">
        <v>930</v>
      </c>
      <c r="D664" s="72">
        <v>635240617</v>
      </c>
      <c r="E664" s="73">
        <v>9192259651</v>
      </c>
      <c r="F664" s="39" t="s">
        <v>256</v>
      </c>
      <c r="G664" s="49">
        <v>37844</v>
      </c>
      <c r="H664" s="50" t="str">
        <f t="shared" si="20"/>
        <v>Aug</v>
      </c>
      <c r="I664" s="51">
        <f t="shared" ca="1" si="21"/>
        <v>13</v>
      </c>
      <c r="J664" s="52" t="s">
        <v>283</v>
      </c>
      <c r="K664" s="53">
        <v>57160</v>
      </c>
      <c r="L664" s="54">
        <v>3</v>
      </c>
      <c r="M664" s="55"/>
    </row>
    <row r="665" spans="1:13" x14ac:dyDescent="0.25">
      <c r="A665" s="39" t="s">
        <v>956</v>
      </c>
      <c r="B665" s="46" t="s">
        <v>285</v>
      </c>
      <c r="C665" s="39" t="s">
        <v>930</v>
      </c>
      <c r="D665" s="72">
        <v>546546374</v>
      </c>
      <c r="E665" s="73">
        <v>9192727944</v>
      </c>
      <c r="F665" s="39" t="s">
        <v>261</v>
      </c>
      <c r="G665" s="49">
        <v>37463</v>
      </c>
      <c r="H665" s="50" t="str">
        <f t="shared" si="20"/>
        <v>Jul</v>
      </c>
      <c r="I665" s="51">
        <f t="shared" ca="1" si="21"/>
        <v>14</v>
      </c>
      <c r="J665" s="52" t="s">
        <v>283</v>
      </c>
      <c r="K665" s="53">
        <v>31420</v>
      </c>
      <c r="L665" s="54">
        <v>5</v>
      </c>
      <c r="M665" s="55"/>
    </row>
    <row r="666" spans="1:13" x14ac:dyDescent="0.25">
      <c r="A666" s="39" t="s">
        <v>957</v>
      </c>
      <c r="B666" s="46" t="s">
        <v>285</v>
      </c>
      <c r="C666" s="39" t="s">
        <v>930</v>
      </c>
      <c r="D666" s="72">
        <v>970466937</v>
      </c>
      <c r="E666" s="73">
        <v>9192042331</v>
      </c>
      <c r="F666" s="39" t="s">
        <v>247</v>
      </c>
      <c r="G666" s="49">
        <v>34496</v>
      </c>
      <c r="H666" s="50" t="str">
        <f t="shared" si="20"/>
        <v>Jun</v>
      </c>
      <c r="I666" s="51">
        <f t="shared" ca="1" si="21"/>
        <v>22</v>
      </c>
      <c r="J666" s="52"/>
      <c r="K666" s="53">
        <v>74980</v>
      </c>
      <c r="L666" s="54">
        <v>5</v>
      </c>
      <c r="M666" s="55"/>
    </row>
    <row r="667" spans="1:13" x14ac:dyDescent="0.25">
      <c r="A667" s="39" t="s">
        <v>958</v>
      </c>
      <c r="B667" s="46" t="s">
        <v>285</v>
      </c>
      <c r="C667" s="39" t="s">
        <v>930</v>
      </c>
      <c r="D667" s="72">
        <v>212558012</v>
      </c>
      <c r="E667" s="73">
        <v>2526860208</v>
      </c>
      <c r="F667" s="39" t="s">
        <v>256</v>
      </c>
      <c r="G667" s="49">
        <v>37968</v>
      </c>
      <c r="H667" s="50" t="str">
        <f t="shared" si="20"/>
        <v>Dec</v>
      </c>
      <c r="I667" s="51">
        <f t="shared" ca="1" si="21"/>
        <v>12</v>
      </c>
      <c r="J667" s="52" t="s">
        <v>257</v>
      </c>
      <c r="K667" s="53">
        <v>75670</v>
      </c>
      <c r="L667" s="54">
        <v>4</v>
      </c>
      <c r="M667" s="55"/>
    </row>
    <row r="668" spans="1:13" x14ac:dyDescent="0.25">
      <c r="A668" s="39" t="s">
        <v>959</v>
      </c>
      <c r="B668" s="46" t="s">
        <v>251</v>
      </c>
      <c r="C668" s="39" t="s">
        <v>930</v>
      </c>
      <c r="D668" s="72">
        <v>688769770</v>
      </c>
      <c r="E668" s="73">
        <v>9192416398</v>
      </c>
      <c r="F668" s="39" t="s">
        <v>256</v>
      </c>
      <c r="G668" s="49">
        <v>39627</v>
      </c>
      <c r="H668" s="50" t="str">
        <f t="shared" si="20"/>
        <v>Jun</v>
      </c>
      <c r="I668" s="51">
        <f t="shared" ca="1" si="21"/>
        <v>8</v>
      </c>
      <c r="J668" s="52" t="s">
        <v>257</v>
      </c>
      <c r="K668" s="53">
        <v>53440</v>
      </c>
      <c r="L668" s="54">
        <v>2</v>
      </c>
      <c r="M668" s="55"/>
    </row>
    <row r="669" spans="1:13" x14ac:dyDescent="0.25">
      <c r="A669" s="39" t="s">
        <v>960</v>
      </c>
      <c r="B669" s="46" t="s">
        <v>285</v>
      </c>
      <c r="C669" s="39" t="s">
        <v>930</v>
      </c>
      <c r="D669" s="72">
        <v>471064761</v>
      </c>
      <c r="E669" s="73">
        <v>9191800673</v>
      </c>
      <c r="F669" s="39" t="s">
        <v>252</v>
      </c>
      <c r="G669" s="49">
        <v>35826</v>
      </c>
      <c r="H669" s="50" t="str">
        <f t="shared" si="20"/>
        <v>Jan</v>
      </c>
      <c r="I669" s="51">
        <f t="shared" ca="1" si="21"/>
        <v>18</v>
      </c>
      <c r="J669" s="52"/>
      <c r="K669" s="53">
        <v>32330</v>
      </c>
      <c r="L669" s="54">
        <v>4</v>
      </c>
      <c r="M669" s="55"/>
    </row>
    <row r="670" spans="1:13" x14ac:dyDescent="0.25">
      <c r="A670" s="39" t="s">
        <v>961</v>
      </c>
      <c r="B670" s="46" t="s">
        <v>280</v>
      </c>
      <c r="C670" s="39" t="s">
        <v>930</v>
      </c>
      <c r="D670" s="72">
        <v>733358713</v>
      </c>
      <c r="E670" s="73">
        <v>9196648050</v>
      </c>
      <c r="F670" s="39" t="s">
        <v>247</v>
      </c>
      <c r="G670" s="49">
        <v>36339</v>
      </c>
      <c r="H670" s="50" t="str">
        <f t="shared" si="20"/>
        <v>Jun</v>
      </c>
      <c r="I670" s="51">
        <f t="shared" ca="1" si="21"/>
        <v>17</v>
      </c>
      <c r="J670" s="52"/>
      <c r="K670" s="53">
        <v>105400</v>
      </c>
      <c r="L670" s="54">
        <v>2</v>
      </c>
      <c r="M670" s="55"/>
    </row>
    <row r="671" spans="1:13" x14ac:dyDescent="0.25">
      <c r="A671" s="39" t="s">
        <v>962</v>
      </c>
      <c r="B671" s="46" t="s">
        <v>285</v>
      </c>
      <c r="C671" s="39" t="s">
        <v>930</v>
      </c>
      <c r="D671" s="72">
        <v>277423593</v>
      </c>
      <c r="E671" s="73">
        <v>9195790921</v>
      </c>
      <c r="F671" s="39" t="s">
        <v>261</v>
      </c>
      <c r="G671" s="49">
        <v>34392</v>
      </c>
      <c r="H671" s="50" t="str">
        <f t="shared" si="20"/>
        <v>Feb</v>
      </c>
      <c r="I671" s="51">
        <f t="shared" ca="1" si="21"/>
        <v>22</v>
      </c>
      <c r="J671" s="52" t="s">
        <v>283</v>
      </c>
      <c r="K671" s="53">
        <v>16150</v>
      </c>
      <c r="L671" s="54">
        <v>2</v>
      </c>
      <c r="M671" s="55"/>
    </row>
    <row r="672" spans="1:13" x14ac:dyDescent="0.25">
      <c r="A672" s="39" t="s">
        <v>963</v>
      </c>
      <c r="B672" s="46" t="s">
        <v>266</v>
      </c>
      <c r="C672" s="39" t="s">
        <v>930</v>
      </c>
      <c r="D672" s="72">
        <v>941937371</v>
      </c>
      <c r="E672" s="73">
        <v>9195060466</v>
      </c>
      <c r="F672" s="39" t="s">
        <v>256</v>
      </c>
      <c r="G672" s="49">
        <v>36777</v>
      </c>
      <c r="H672" s="50" t="str">
        <f t="shared" si="20"/>
        <v>Sep</v>
      </c>
      <c r="I672" s="51">
        <f t="shared" ca="1" si="21"/>
        <v>16</v>
      </c>
      <c r="J672" s="52" t="s">
        <v>257</v>
      </c>
      <c r="K672" s="53">
        <v>103580</v>
      </c>
      <c r="L672" s="54">
        <v>4</v>
      </c>
      <c r="M672" s="55"/>
    </row>
    <row r="673" spans="1:13" x14ac:dyDescent="0.25">
      <c r="A673" s="39" t="s">
        <v>964</v>
      </c>
      <c r="B673" s="46" t="s">
        <v>285</v>
      </c>
      <c r="C673" s="39" t="s">
        <v>930</v>
      </c>
      <c r="D673" s="72">
        <v>627494412</v>
      </c>
      <c r="E673" s="73">
        <v>2528249735</v>
      </c>
      <c r="F673" s="39" t="s">
        <v>256</v>
      </c>
      <c r="G673" s="49">
        <v>36277</v>
      </c>
      <c r="H673" s="50" t="str">
        <f t="shared" si="20"/>
        <v>Apr</v>
      </c>
      <c r="I673" s="51">
        <f t="shared" ca="1" si="21"/>
        <v>17</v>
      </c>
      <c r="J673" s="52" t="s">
        <v>257</v>
      </c>
      <c r="K673" s="53">
        <v>70040</v>
      </c>
      <c r="L673" s="54">
        <v>5</v>
      </c>
      <c r="M673" s="55"/>
    </row>
    <row r="674" spans="1:13" x14ac:dyDescent="0.25">
      <c r="A674" s="39" t="s">
        <v>965</v>
      </c>
      <c r="B674" s="46" t="s">
        <v>280</v>
      </c>
      <c r="C674" s="39" t="s">
        <v>930</v>
      </c>
      <c r="D674" s="72">
        <v>230192897</v>
      </c>
      <c r="E674" s="73">
        <v>2525261239</v>
      </c>
      <c r="F674" s="39" t="s">
        <v>256</v>
      </c>
      <c r="G674" s="49">
        <v>40442</v>
      </c>
      <c r="H674" s="50" t="str">
        <f t="shared" si="20"/>
        <v>Sep</v>
      </c>
      <c r="I674" s="51">
        <f t="shared" ca="1" si="21"/>
        <v>6</v>
      </c>
      <c r="J674" s="52" t="s">
        <v>262</v>
      </c>
      <c r="K674" s="53">
        <v>82630</v>
      </c>
      <c r="L674" s="54">
        <v>2</v>
      </c>
      <c r="M674" s="55"/>
    </row>
    <row r="675" spans="1:13" x14ac:dyDescent="0.25">
      <c r="A675" s="39" t="s">
        <v>966</v>
      </c>
      <c r="B675" s="46" t="s">
        <v>285</v>
      </c>
      <c r="C675" s="39" t="s">
        <v>930</v>
      </c>
      <c r="D675" s="72">
        <v>894855096</v>
      </c>
      <c r="E675" s="73">
        <v>9193936198</v>
      </c>
      <c r="F675" s="39" t="s">
        <v>261</v>
      </c>
      <c r="G675" s="49">
        <v>36467</v>
      </c>
      <c r="H675" s="50" t="str">
        <f t="shared" si="20"/>
        <v>Nov</v>
      </c>
      <c r="I675" s="51">
        <f t="shared" ca="1" si="21"/>
        <v>17</v>
      </c>
      <c r="J675" s="52" t="s">
        <v>262</v>
      </c>
      <c r="K675" s="53">
        <v>45190</v>
      </c>
      <c r="L675" s="54">
        <v>4</v>
      </c>
      <c r="M675" s="55"/>
    </row>
    <row r="676" spans="1:13" x14ac:dyDescent="0.25">
      <c r="A676" s="39" t="s">
        <v>967</v>
      </c>
      <c r="B676" s="46" t="s">
        <v>280</v>
      </c>
      <c r="C676" s="39" t="s">
        <v>930</v>
      </c>
      <c r="D676" s="72">
        <v>723066626</v>
      </c>
      <c r="E676" s="73">
        <v>2525399385</v>
      </c>
      <c r="F676" s="39" t="s">
        <v>247</v>
      </c>
      <c r="G676" s="49">
        <v>39439</v>
      </c>
      <c r="H676" s="50" t="str">
        <f t="shared" si="20"/>
        <v>Dec</v>
      </c>
      <c r="I676" s="51">
        <f t="shared" ca="1" si="21"/>
        <v>8</v>
      </c>
      <c r="J676" s="52"/>
      <c r="K676" s="53">
        <v>39460</v>
      </c>
      <c r="L676" s="54">
        <v>3</v>
      </c>
      <c r="M676" s="55"/>
    </row>
    <row r="677" spans="1:13" x14ac:dyDescent="0.25">
      <c r="A677" s="39" t="s">
        <v>968</v>
      </c>
      <c r="B677" s="46" t="s">
        <v>285</v>
      </c>
      <c r="C677" s="39" t="s">
        <v>930</v>
      </c>
      <c r="D677" s="72">
        <v>144722757</v>
      </c>
      <c r="E677" s="73">
        <v>9196060038</v>
      </c>
      <c r="F677" s="39" t="s">
        <v>247</v>
      </c>
      <c r="G677" s="49">
        <v>34563</v>
      </c>
      <c r="H677" s="50" t="str">
        <f t="shared" si="20"/>
        <v>Aug</v>
      </c>
      <c r="I677" s="51">
        <f t="shared" ca="1" si="21"/>
        <v>22</v>
      </c>
      <c r="J677" s="52"/>
      <c r="K677" s="53">
        <v>69000</v>
      </c>
      <c r="L677" s="54">
        <v>1</v>
      </c>
      <c r="M677" s="55"/>
    </row>
    <row r="678" spans="1:13" x14ac:dyDescent="0.25">
      <c r="A678" s="39" t="s">
        <v>969</v>
      </c>
      <c r="B678" s="46" t="s">
        <v>271</v>
      </c>
      <c r="C678" s="39" t="s">
        <v>930</v>
      </c>
      <c r="D678" s="72">
        <v>418701946</v>
      </c>
      <c r="E678" s="73">
        <v>2524141191</v>
      </c>
      <c r="F678" s="39" t="s">
        <v>261</v>
      </c>
      <c r="G678" s="49">
        <v>35155</v>
      </c>
      <c r="H678" s="50" t="str">
        <f t="shared" si="20"/>
        <v>Mar</v>
      </c>
      <c r="I678" s="51">
        <f t="shared" ca="1" si="21"/>
        <v>20</v>
      </c>
      <c r="J678" s="52" t="s">
        <v>257</v>
      </c>
      <c r="K678" s="53">
        <v>59450</v>
      </c>
      <c r="L678" s="54">
        <v>2</v>
      </c>
      <c r="M678" s="55"/>
    </row>
    <row r="679" spans="1:13" x14ac:dyDescent="0.25">
      <c r="A679" s="39" t="s">
        <v>970</v>
      </c>
      <c r="B679" s="46" t="s">
        <v>271</v>
      </c>
      <c r="C679" s="39" t="s">
        <v>930</v>
      </c>
      <c r="D679" s="72">
        <v>671823263</v>
      </c>
      <c r="E679" s="73">
        <v>2526718651</v>
      </c>
      <c r="F679" s="39" t="s">
        <v>256</v>
      </c>
      <c r="G679" s="49">
        <v>41638</v>
      </c>
      <c r="H679" s="50" t="str">
        <f t="shared" si="20"/>
        <v>Dec</v>
      </c>
      <c r="I679" s="51">
        <f t="shared" ca="1" si="21"/>
        <v>2</v>
      </c>
      <c r="J679" s="52" t="s">
        <v>257</v>
      </c>
      <c r="K679" s="53">
        <v>103970</v>
      </c>
      <c r="L679" s="54">
        <v>3</v>
      </c>
      <c r="M679" s="55"/>
    </row>
    <row r="680" spans="1:13" x14ac:dyDescent="0.25">
      <c r="A680" s="39" t="s">
        <v>971</v>
      </c>
      <c r="B680" s="46" t="s">
        <v>266</v>
      </c>
      <c r="C680" s="39" t="s">
        <v>930</v>
      </c>
      <c r="D680" s="72">
        <v>971128623</v>
      </c>
      <c r="E680" s="73">
        <v>9194375399</v>
      </c>
      <c r="F680" s="39" t="s">
        <v>247</v>
      </c>
      <c r="G680" s="49">
        <v>38142</v>
      </c>
      <c r="H680" s="50" t="str">
        <f t="shared" si="20"/>
        <v>Jun</v>
      </c>
      <c r="I680" s="51">
        <f t="shared" ca="1" si="21"/>
        <v>12</v>
      </c>
      <c r="J680" s="52"/>
      <c r="K680" s="53">
        <v>30640</v>
      </c>
      <c r="L680" s="54">
        <v>3</v>
      </c>
      <c r="M680" s="55"/>
    </row>
    <row r="681" spans="1:13" x14ac:dyDescent="0.25">
      <c r="A681" s="39" t="s">
        <v>972</v>
      </c>
      <c r="B681" s="46" t="s">
        <v>266</v>
      </c>
      <c r="C681" s="39" t="s">
        <v>930</v>
      </c>
      <c r="D681" s="72">
        <v>592709648</v>
      </c>
      <c r="E681" s="73">
        <v>9191797370</v>
      </c>
      <c r="F681" s="39" t="s">
        <v>247</v>
      </c>
      <c r="G681" s="49">
        <v>38066</v>
      </c>
      <c r="H681" s="50" t="str">
        <f t="shared" si="20"/>
        <v>Mar</v>
      </c>
      <c r="I681" s="51">
        <f t="shared" ca="1" si="21"/>
        <v>12</v>
      </c>
      <c r="J681" s="52"/>
      <c r="K681" s="53">
        <v>92560</v>
      </c>
      <c r="L681" s="54">
        <v>5</v>
      </c>
      <c r="M681" s="55"/>
    </row>
    <row r="682" spans="1:13" x14ac:dyDescent="0.25">
      <c r="A682" s="39" t="s">
        <v>973</v>
      </c>
      <c r="B682" s="46" t="s">
        <v>285</v>
      </c>
      <c r="C682" s="39" t="s">
        <v>930</v>
      </c>
      <c r="D682" s="72">
        <v>151532569</v>
      </c>
      <c r="E682" s="73">
        <v>2525202015</v>
      </c>
      <c r="F682" s="39" t="s">
        <v>247</v>
      </c>
      <c r="G682" s="49">
        <v>41564</v>
      </c>
      <c r="H682" s="50" t="str">
        <f t="shared" si="20"/>
        <v>Oct</v>
      </c>
      <c r="I682" s="51">
        <f t="shared" ca="1" si="21"/>
        <v>3</v>
      </c>
      <c r="J682" s="52"/>
      <c r="K682" s="53">
        <v>66610</v>
      </c>
      <c r="L682" s="54">
        <v>3</v>
      </c>
      <c r="M682" s="55"/>
    </row>
    <row r="683" spans="1:13" x14ac:dyDescent="0.25">
      <c r="A683" s="39" t="s">
        <v>974</v>
      </c>
      <c r="B683" s="46" t="s">
        <v>271</v>
      </c>
      <c r="C683" s="39" t="s">
        <v>930</v>
      </c>
      <c r="D683" s="72">
        <v>375875723</v>
      </c>
      <c r="E683" s="73">
        <v>2526026842</v>
      </c>
      <c r="F683" s="39" t="s">
        <v>247</v>
      </c>
      <c r="G683" s="49">
        <v>35724</v>
      </c>
      <c r="H683" s="50" t="str">
        <f t="shared" si="20"/>
        <v>Oct</v>
      </c>
      <c r="I683" s="51">
        <f t="shared" ca="1" si="21"/>
        <v>19</v>
      </c>
      <c r="J683" s="52"/>
      <c r="K683" s="53">
        <v>77120</v>
      </c>
      <c r="L683" s="54">
        <v>3</v>
      </c>
      <c r="M683" s="55"/>
    </row>
    <row r="684" spans="1:13" x14ac:dyDescent="0.25">
      <c r="A684" s="39" t="s">
        <v>975</v>
      </c>
      <c r="B684" s="46" t="s">
        <v>271</v>
      </c>
      <c r="C684" s="39" t="s">
        <v>930</v>
      </c>
      <c r="D684" s="72">
        <v>916944119</v>
      </c>
      <c r="E684" s="73">
        <v>2524907564</v>
      </c>
      <c r="F684" s="39" t="s">
        <v>247</v>
      </c>
      <c r="G684" s="49">
        <v>38100</v>
      </c>
      <c r="H684" s="50" t="str">
        <f t="shared" si="20"/>
        <v>Apr</v>
      </c>
      <c r="I684" s="51">
        <f t="shared" ca="1" si="21"/>
        <v>12</v>
      </c>
      <c r="J684" s="52"/>
      <c r="K684" s="53">
        <v>33920</v>
      </c>
      <c r="L684" s="54">
        <v>5</v>
      </c>
      <c r="M684" s="55"/>
    </row>
    <row r="685" spans="1:13" x14ac:dyDescent="0.25">
      <c r="A685" s="39" t="s">
        <v>976</v>
      </c>
      <c r="B685" s="46" t="s">
        <v>271</v>
      </c>
      <c r="C685" s="39" t="s">
        <v>930</v>
      </c>
      <c r="D685" s="72">
        <v>855663308</v>
      </c>
      <c r="E685" s="73">
        <v>9195797109</v>
      </c>
      <c r="F685" s="39" t="s">
        <v>256</v>
      </c>
      <c r="G685" s="49">
        <v>35671</v>
      </c>
      <c r="H685" s="50" t="str">
        <f t="shared" si="20"/>
        <v>Aug</v>
      </c>
      <c r="I685" s="51">
        <f t="shared" ca="1" si="21"/>
        <v>19</v>
      </c>
      <c r="J685" s="52" t="s">
        <v>257</v>
      </c>
      <c r="K685" s="53">
        <v>83410</v>
      </c>
      <c r="L685" s="54">
        <v>5</v>
      </c>
      <c r="M685" s="55"/>
    </row>
    <row r="686" spans="1:13" x14ac:dyDescent="0.25">
      <c r="A686" s="39" t="s">
        <v>977</v>
      </c>
      <c r="B686" s="46" t="s">
        <v>245</v>
      </c>
      <c r="C686" s="39" t="s">
        <v>930</v>
      </c>
      <c r="D686" s="72">
        <v>262585858</v>
      </c>
      <c r="E686" s="73">
        <v>2528566597</v>
      </c>
      <c r="F686" s="39" t="s">
        <v>261</v>
      </c>
      <c r="G686" s="49">
        <v>36519</v>
      </c>
      <c r="H686" s="50" t="str">
        <f t="shared" si="20"/>
        <v>Dec</v>
      </c>
      <c r="I686" s="51">
        <f t="shared" ca="1" si="21"/>
        <v>16</v>
      </c>
      <c r="J686" s="52" t="s">
        <v>262</v>
      </c>
      <c r="K686" s="53">
        <v>16430</v>
      </c>
      <c r="L686" s="54">
        <v>5</v>
      </c>
      <c r="M686" s="55"/>
    </row>
    <row r="687" spans="1:13" x14ac:dyDescent="0.25">
      <c r="A687" s="39" t="s">
        <v>978</v>
      </c>
      <c r="B687" s="46" t="s">
        <v>271</v>
      </c>
      <c r="C687" s="39" t="s">
        <v>930</v>
      </c>
      <c r="D687" s="72">
        <v>657835603</v>
      </c>
      <c r="E687" s="73">
        <v>2526609693</v>
      </c>
      <c r="F687" s="39" t="s">
        <v>256</v>
      </c>
      <c r="G687" s="49">
        <v>34280</v>
      </c>
      <c r="H687" s="50" t="str">
        <f t="shared" si="20"/>
        <v>Nov</v>
      </c>
      <c r="I687" s="51">
        <f t="shared" ca="1" si="21"/>
        <v>23</v>
      </c>
      <c r="J687" s="52" t="s">
        <v>257</v>
      </c>
      <c r="K687" s="53">
        <v>29040</v>
      </c>
      <c r="L687" s="54">
        <v>5</v>
      </c>
      <c r="M687" s="55"/>
    </row>
    <row r="688" spans="1:13" x14ac:dyDescent="0.25">
      <c r="A688" s="39" t="s">
        <v>979</v>
      </c>
      <c r="B688" s="46" t="s">
        <v>266</v>
      </c>
      <c r="C688" s="39" t="s">
        <v>930</v>
      </c>
      <c r="D688" s="72">
        <v>120224342</v>
      </c>
      <c r="E688" s="73">
        <v>9198986390</v>
      </c>
      <c r="F688" s="39" t="s">
        <v>252</v>
      </c>
      <c r="G688" s="49">
        <v>37459</v>
      </c>
      <c r="H688" s="50" t="str">
        <f t="shared" si="20"/>
        <v>Jul</v>
      </c>
      <c r="I688" s="51">
        <f t="shared" ca="1" si="21"/>
        <v>14</v>
      </c>
      <c r="J688" s="52"/>
      <c r="K688" s="53">
        <v>39040</v>
      </c>
      <c r="L688" s="54">
        <v>2</v>
      </c>
      <c r="M688" s="55"/>
    </row>
    <row r="689" spans="1:13" x14ac:dyDescent="0.25">
      <c r="A689" s="39" t="s">
        <v>980</v>
      </c>
      <c r="B689" s="46" t="s">
        <v>285</v>
      </c>
      <c r="C689" s="39" t="s">
        <v>930</v>
      </c>
      <c r="D689" s="72">
        <v>283476654</v>
      </c>
      <c r="E689" s="73">
        <v>9197049910</v>
      </c>
      <c r="F689" s="39" t="s">
        <v>256</v>
      </c>
      <c r="G689" s="49">
        <v>34682</v>
      </c>
      <c r="H689" s="50" t="str">
        <f t="shared" si="20"/>
        <v>Dec</v>
      </c>
      <c r="I689" s="51">
        <f t="shared" ca="1" si="21"/>
        <v>21</v>
      </c>
      <c r="J689" s="52" t="s">
        <v>262</v>
      </c>
      <c r="K689" s="53">
        <v>55860</v>
      </c>
      <c r="L689" s="54">
        <v>4</v>
      </c>
      <c r="M689" s="55"/>
    </row>
    <row r="690" spans="1:13" x14ac:dyDescent="0.25">
      <c r="A690" s="39" t="s">
        <v>981</v>
      </c>
      <c r="B690" s="46" t="s">
        <v>285</v>
      </c>
      <c r="C690" s="39" t="s">
        <v>930</v>
      </c>
      <c r="D690" s="72">
        <v>717503282</v>
      </c>
      <c r="E690" s="73">
        <v>2522400087</v>
      </c>
      <c r="F690" s="39" t="s">
        <v>247</v>
      </c>
      <c r="G690" s="49">
        <v>41524</v>
      </c>
      <c r="H690" s="50" t="str">
        <f t="shared" si="20"/>
        <v>Sep</v>
      </c>
      <c r="I690" s="51">
        <f t="shared" ca="1" si="21"/>
        <v>3</v>
      </c>
      <c r="J690" s="52"/>
      <c r="K690" s="53">
        <v>55880</v>
      </c>
      <c r="L690" s="54">
        <v>4</v>
      </c>
      <c r="M690" s="55"/>
    </row>
    <row r="691" spans="1:13" x14ac:dyDescent="0.25">
      <c r="A691" s="39" t="s">
        <v>982</v>
      </c>
      <c r="B691" s="46" t="s">
        <v>245</v>
      </c>
      <c r="C691" s="39" t="s">
        <v>930</v>
      </c>
      <c r="D691" s="72">
        <v>683670378</v>
      </c>
      <c r="E691" s="73">
        <v>9196259106</v>
      </c>
      <c r="F691" s="39" t="s">
        <v>256</v>
      </c>
      <c r="G691" s="49">
        <v>39348</v>
      </c>
      <c r="H691" s="50" t="str">
        <f t="shared" si="20"/>
        <v>Sep</v>
      </c>
      <c r="I691" s="51">
        <f t="shared" ca="1" si="21"/>
        <v>9</v>
      </c>
      <c r="J691" s="52" t="s">
        <v>283</v>
      </c>
      <c r="K691" s="53">
        <v>97610</v>
      </c>
      <c r="L691" s="54">
        <v>2</v>
      </c>
      <c r="M691" s="55"/>
    </row>
    <row r="692" spans="1:13" x14ac:dyDescent="0.25">
      <c r="A692" s="39" t="s">
        <v>983</v>
      </c>
      <c r="B692" s="46" t="s">
        <v>271</v>
      </c>
      <c r="C692" s="39" t="s">
        <v>930</v>
      </c>
      <c r="D692" s="72">
        <v>111616346</v>
      </c>
      <c r="E692" s="73">
        <v>2525717431</v>
      </c>
      <c r="F692" s="39" t="s">
        <v>247</v>
      </c>
      <c r="G692" s="49">
        <v>34507</v>
      </c>
      <c r="H692" s="50" t="str">
        <f t="shared" si="20"/>
        <v>Jun</v>
      </c>
      <c r="I692" s="51">
        <f t="shared" ca="1" si="21"/>
        <v>22</v>
      </c>
      <c r="J692" s="52"/>
      <c r="K692" s="53">
        <v>73360</v>
      </c>
      <c r="L692" s="54">
        <v>4</v>
      </c>
      <c r="M692" s="55"/>
    </row>
    <row r="693" spans="1:13" x14ac:dyDescent="0.25">
      <c r="A693" s="39" t="s">
        <v>984</v>
      </c>
      <c r="B693" s="46" t="s">
        <v>285</v>
      </c>
      <c r="C693" s="39" t="s">
        <v>930</v>
      </c>
      <c r="D693" s="72">
        <v>458734969</v>
      </c>
      <c r="E693" s="73">
        <v>9196354278</v>
      </c>
      <c r="F693" s="39" t="s">
        <v>256</v>
      </c>
      <c r="G693" s="49">
        <v>40729</v>
      </c>
      <c r="H693" s="50" t="str">
        <f t="shared" si="20"/>
        <v>Jul</v>
      </c>
      <c r="I693" s="51">
        <f t="shared" ca="1" si="21"/>
        <v>5</v>
      </c>
      <c r="J693" s="52" t="s">
        <v>257</v>
      </c>
      <c r="K693" s="53">
        <v>98840</v>
      </c>
      <c r="L693" s="54">
        <v>5</v>
      </c>
      <c r="M693" s="55"/>
    </row>
    <row r="694" spans="1:13" x14ac:dyDescent="0.25">
      <c r="A694" s="39" t="s">
        <v>985</v>
      </c>
      <c r="B694" s="46" t="s">
        <v>245</v>
      </c>
      <c r="C694" s="39" t="s">
        <v>930</v>
      </c>
      <c r="D694" s="72">
        <v>667745362</v>
      </c>
      <c r="E694" s="73">
        <v>2522952173</v>
      </c>
      <c r="F694" s="39" t="s">
        <v>247</v>
      </c>
      <c r="G694" s="49">
        <v>40729</v>
      </c>
      <c r="H694" s="50" t="str">
        <f t="shared" si="20"/>
        <v>Jul</v>
      </c>
      <c r="I694" s="51">
        <f t="shared" ca="1" si="21"/>
        <v>5</v>
      </c>
      <c r="J694" s="52"/>
      <c r="K694" s="53">
        <v>103250</v>
      </c>
      <c r="L694" s="54">
        <v>5</v>
      </c>
      <c r="M694" s="55"/>
    </row>
    <row r="695" spans="1:13" x14ac:dyDescent="0.25">
      <c r="A695" s="39" t="s">
        <v>986</v>
      </c>
      <c r="B695" s="46" t="s">
        <v>285</v>
      </c>
      <c r="C695" s="39" t="s">
        <v>930</v>
      </c>
      <c r="D695" s="72">
        <v>862698919</v>
      </c>
      <c r="E695" s="73">
        <v>2522780847</v>
      </c>
      <c r="F695" s="39" t="s">
        <v>256</v>
      </c>
      <c r="G695" s="49">
        <v>39329</v>
      </c>
      <c r="H695" s="50" t="str">
        <f t="shared" si="20"/>
        <v>Sep</v>
      </c>
      <c r="I695" s="51">
        <f t="shared" ca="1" si="21"/>
        <v>9</v>
      </c>
      <c r="J695" s="52" t="s">
        <v>262</v>
      </c>
      <c r="K695" s="53">
        <v>57940</v>
      </c>
      <c r="L695" s="54">
        <v>4</v>
      </c>
      <c r="M695" s="55"/>
    </row>
    <row r="696" spans="1:13" x14ac:dyDescent="0.25">
      <c r="A696" s="39" t="s">
        <v>987</v>
      </c>
      <c r="B696" s="46" t="s">
        <v>271</v>
      </c>
      <c r="C696" s="39" t="s">
        <v>930</v>
      </c>
      <c r="D696" s="72">
        <v>750006979</v>
      </c>
      <c r="E696" s="73">
        <v>2528444054</v>
      </c>
      <c r="F696" s="39" t="s">
        <v>261</v>
      </c>
      <c r="G696" s="49">
        <v>35043</v>
      </c>
      <c r="H696" s="50" t="str">
        <f t="shared" si="20"/>
        <v>Dec</v>
      </c>
      <c r="I696" s="51">
        <f t="shared" ca="1" si="21"/>
        <v>20</v>
      </c>
      <c r="J696" s="52" t="s">
        <v>267</v>
      </c>
      <c r="K696" s="53">
        <v>33250</v>
      </c>
      <c r="L696" s="54">
        <v>3</v>
      </c>
      <c r="M696" s="55"/>
    </row>
    <row r="697" spans="1:13" x14ac:dyDescent="0.25">
      <c r="A697" s="39" t="s">
        <v>988</v>
      </c>
      <c r="B697" s="46" t="s">
        <v>285</v>
      </c>
      <c r="C697" s="39" t="s">
        <v>930</v>
      </c>
      <c r="D697" s="72">
        <v>763182349</v>
      </c>
      <c r="E697" s="73">
        <v>2527780776</v>
      </c>
      <c r="F697" s="39" t="s">
        <v>247</v>
      </c>
      <c r="G697" s="49">
        <v>35127</v>
      </c>
      <c r="H697" s="50" t="str">
        <f t="shared" si="20"/>
        <v>Mar</v>
      </c>
      <c r="I697" s="51">
        <f t="shared" ca="1" si="21"/>
        <v>20</v>
      </c>
      <c r="J697" s="52"/>
      <c r="K697" s="53">
        <v>90660</v>
      </c>
      <c r="L697" s="54">
        <v>3</v>
      </c>
      <c r="M697" s="55"/>
    </row>
    <row r="698" spans="1:13" x14ac:dyDescent="0.25">
      <c r="A698" s="39" t="s">
        <v>989</v>
      </c>
      <c r="B698" s="46" t="s">
        <v>245</v>
      </c>
      <c r="C698" s="39" t="s">
        <v>930</v>
      </c>
      <c r="D698" s="72">
        <v>877574472</v>
      </c>
      <c r="E698" s="73">
        <v>2524100997</v>
      </c>
      <c r="F698" s="39" t="s">
        <v>247</v>
      </c>
      <c r="G698" s="49">
        <v>34402</v>
      </c>
      <c r="H698" s="50" t="str">
        <f t="shared" si="20"/>
        <v>Mar</v>
      </c>
      <c r="I698" s="51">
        <f t="shared" ca="1" si="21"/>
        <v>22</v>
      </c>
      <c r="J698" s="52"/>
      <c r="K698" s="53">
        <v>41620</v>
      </c>
      <c r="L698" s="54">
        <v>5</v>
      </c>
      <c r="M698" s="55"/>
    </row>
    <row r="699" spans="1:13" x14ac:dyDescent="0.25">
      <c r="A699" s="39" t="s">
        <v>990</v>
      </c>
      <c r="B699" s="46" t="s">
        <v>271</v>
      </c>
      <c r="C699" s="39" t="s">
        <v>930</v>
      </c>
      <c r="D699" s="72">
        <v>308317457</v>
      </c>
      <c r="E699" s="73">
        <v>9192729524</v>
      </c>
      <c r="F699" s="39" t="s">
        <v>256</v>
      </c>
      <c r="G699" s="49">
        <v>41681</v>
      </c>
      <c r="H699" s="50" t="str">
        <f t="shared" si="20"/>
        <v>Feb</v>
      </c>
      <c r="I699" s="51">
        <f t="shared" ca="1" si="21"/>
        <v>2</v>
      </c>
      <c r="J699" s="52" t="s">
        <v>257</v>
      </c>
      <c r="K699" s="53">
        <v>27640</v>
      </c>
      <c r="L699" s="54">
        <v>4</v>
      </c>
      <c r="M699" s="55"/>
    </row>
    <row r="700" spans="1:13" x14ac:dyDescent="0.25">
      <c r="A700" s="39" t="s">
        <v>991</v>
      </c>
      <c r="B700" s="46" t="s">
        <v>251</v>
      </c>
      <c r="C700" s="39" t="s">
        <v>930</v>
      </c>
      <c r="D700" s="72">
        <v>120361975</v>
      </c>
      <c r="E700" s="73">
        <v>2521789943</v>
      </c>
      <c r="F700" s="39" t="s">
        <v>256</v>
      </c>
      <c r="G700" s="49">
        <v>38496</v>
      </c>
      <c r="H700" s="50" t="str">
        <f t="shared" si="20"/>
        <v>May</v>
      </c>
      <c r="I700" s="51">
        <f t="shared" ca="1" si="21"/>
        <v>11</v>
      </c>
      <c r="J700" s="52" t="s">
        <v>276</v>
      </c>
      <c r="K700" s="53">
        <v>72360</v>
      </c>
      <c r="L700" s="54">
        <v>2</v>
      </c>
      <c r="M700" s="55"/>
    </row>
    <row r="701" spans="1:13" x14ac:dyDescent="0.25">
      <c r="A701" s="39" t="s">
        <v>992</v>
      </c>
      <c r="B701" s="46" t="s">
        <v>280</v>
      </c>
      <c r="C701" s="39" t="s">
        <v>930</v>
      </c>
      <c r="D701" s="72">
        <v>749768847</v>
      </c>
      <c r="E701" s="73">
        <v>2528552110</v>
      </c>
      <c r="F701" s="39" t="s">
        <v>247</v>
      </c>
      <c r="G701" s="49">
        <v>36281</v>
      </c>
      <c r="H701" s="50" t="str">
        <f t="shared" si="20"/>
        <v>May</v>
      </c>
      <c r="I701" s="51">
        <f t="shared" ca="1" si="21"/>
        <v>17</v>
      </c>
      <c r="J701" s="52"/>
      <c r="K701" s="53">
        <v>50120</v>
      </c>
      <c r="L701" s="54">
        <v>5</v>
      </c>
      <c r="M701" s="55"/>
    </row>
    <row r="702" spans="1:13" x14ac:dyDescent="0.25">
      <c r="A702" s="39" t="s">
        <v>993</v>
      </c>
      <c r="B702" s="46" t="s">
        <v>280</v>
      </c>
      <c r="C702" s="39" t="s">
        <v>930</v>
      </c>
      <c r="D702" s="72">
        <v>276873359</v>
      </c>
      <c r="E702" s="73">
        <v>2522304625</v>
      </c>
      <c r="F702" s="39" t="s">
        <v>256</v>
      </c>
      <c r="G702" s="49">
        <v>40172</v>
      </c>
      <c r="H702" s="50" t="str">
        <f t="shared" si="20"/>
        <v>Dec</v>
      </c>
      <c r="I702" s="51">
        <f t="shared" ca="1" si="21"/>
        <v>6</v>
      </c>
      <c r="J702" s="52" t="s">
        <v>267</v>
      </c>
      <c r="K702" s="53">
        <v>30830</v>
      </c>
      <c r="L702" s="54">
        <v>2</v>
      </c>
      <c r="M702" s="55"/>
    </row>
    <row r="703" spans="1:13" x14ac:dyDescent="0.25">
      <c r="A703" s="39" t="s">
        <v>994</v>
      </c>
      <c r="B703" s="46" t="s">
        <v>280</v>
      </c>
      <c r="C703" s="39" t="s">
        <v>930</v>
      </c>
      <c r="D703" s="72">
        <v>643984096</v>
      </c>
      <c r="E703" s="73">
        <v>9191630739</v>
      </c>
      <c r="F703" s="39" t="s">
        <v>247</v>
      </c>
      <c r="G703" s="49">
        <v>34414</v>
      </c>
      <c r="H703" s="50" t="str">
        <f t="shared" si="20"/>
        <v>Mar</v>
      </c>
      <c r="I703" s="51">
        <f t="shared" ca="1" si="21"/>
        <v>22</v>
      </c>
      <c r="J703" s="52"/>
      <c r="K703" s="53">
        <v>31220</v>
      </c>
      <c r="L703" s="54">
        <v>5</v>
      </c>
      <c r="M703" s="55"/>
    </row>
    <row r="704" spans="1:13" x14ac:dyDescent="0.25">
      <c r="A704" s="39" t="s">
        <v>995</v>
      </c>
      <c r="B704" s="46" t="s">
        <v>245</v>
      </c>
      <c r="C704" s="39" t="s">
        <v>930</v>
      </c>
      <c r="D704" s="72">
        <v>145495793</v>
      </c>
      <c r="E704" s="73">
        <v>2521603964</v>
      </c>
      <c r="F704" s="39" t="s">
        <v>261</v>
      </c>
      <c r="G704" s="49">
        <v>35961</v>
      </c>
      <c r="H704" s="50" t="str">
        <f t="shared" si="20"/>
        <v>Jun</v>
      </c>
      <c r="I704" s="51">
        <f t="shared" ca="1" si="21"/>
        <v>18</v>
      </c>
      <c r="J704" s="52" t="s">
        <v>276</v>
      </c>
      <c r="K704" s="53">
        <v>27600</v>
      </c>
      <c r="L704" s="54">
        <v>4</v>
      </c>
      <c r="M704" s="55"/>
    </row>
    <row r="705" spans="1:13" x14ac:dyDescent="0.25">
      <c r="A705" s="39" t="s">
        <v>996</v>
      </c>
      <c r="B705" s="46" t="s">
        <v>280</v>
      </c>
      <c r="C705" s="39" t="s">
        <v>930</v>
      </c>
      <c r="D705" s="72">
        <v>311309049</v>
      </c>
      <c r="E705" s="73">
        <v>2527560634</v>
      </c>
      <c r="F705" s="39" t="s">
        <v>256</v>
      </c>
      <c r="G705" s="49">
        <v>37244</v>
      </c>
      <c r="H705" s="50" t="str">
        <f t="shared" si="20"/>
        <v>Dec</v>
      </c>
      <c r="I705" s="51">
        <f t="shared" ca="1" si="21"/>
        <v>14</v>
      </c>
      <c r="J705" s="52" t="s">
        <v>276</v>
      </c>
      <c r="K705" s="53">
        <v>93220</v>
      </c>
      <c r="L705" s="54">
        <v>3</v>
      </c>
      <c r="M705" s="55"/>
    </row>
    <row r="706" spans="1:13" x14ac:dyDescent="0.25">
      <c r="A706" s="39" t="s">
        <v>997</v>
      </c>
      <c r="B706" s="46" t="s">
        <v>251</v>
      </c>
      <c r="C706" s="39" t="s">
        <v>930</v>
      </c>
      <c r="D706" s="72">
        <v>900160539</v>
      </c>
      <c r="E706" s="73">
        <v>2522749909</v>
      </c>
      <c r="F706" s="39" t="s">
        <v>261</v>
      </c>
      <c r="G706" s="49">
        <v>37366</v>
      </c>
      <c r="H706" s="50" t="str">
        <f t="shared" ref="H706:H742" si="22">CHOOSE(MONTH(G706),"Jan","Feb","Mar","Apr","May","Jun","Jul","Aug","Sep","Oct","Nov","Dec")</f>
        <v>Apr</v>
      </c>
      <c r="I706" s="51">
        <f t="shared" ref="I706:I742" ca="1" si="23">DATEDIF(G706,TODAY(),"Y")</f>
        <v>14</v>
      </c>
      <c r="J706" s="52" t="s">
        <v>267</v>
      </c>
      <c r="K706" s="53">
        <v>23790</v>
      </c>
      <c r="L706" s="54">
        <v>2</v>
      </c>
      <c r="M706" s="55"/>
    </row>
    <row r="707" spans="1:13" x14ac:dyDescent="0.25">
      <c r="A707" s="39" t="s">
        <v>998</v>
      </c>
      <c r="B707" s="46" t="s">
        <v>251</v>
      </c>
      <c r="C707" s="39" t="s">
        <v>930</v>
      </c>
      <c r="D707" s="72">
        <v>759471070</v>
      </c>
      <c r="E707" s="73">
        <v>2525402828</v>
      </c>
      <c r="F707" s="39" t="s">
        <v>256</v>
      </c>
      <c r="G707" s="49">
        <v>38010</v>
      </c>
      <c r="H707" s="50" t="str">
        <f t="shared" si="22"/>
        <v>Jan</v>
      </c>
      <c r="I707" s="51">
        <f t="shared" ca="1" si="23"/>
        <v>12</v>
      </c>
      <c r="J707" s="52" t="s">
        <v>283</v>
      </c>
      <c r="K707" s="53">
        <v>94450</v>
      </c>
      <c r="L707" s="54">
        <v>2</v>
      </c>
      <c r="M707" s="55"/>
    </row>
    <row r="708" spans="1:13" x14ac:dyDescent="0.25">
      <c r="A708" s="39" t="s">
        <v>999</v>
      </c>
      <c r="B708" s="46" t="s">
        <v>285</v>
      </c>
      <c r="C708" s="39" t="s">
        <v>930</v>
      </c>
      <c r="D708" s="72">
        <v>879114558</v>
      </c>
      <c r="E708" s="73">
        <v>9194557504</v>
      </c>
      <c r="F708" s="39" t="s">
        <v>261</v>
      </c>
      <c r="G708" s="49">
        <v>37919</v>
      </c>
      <c r="H708" s="50" t="str">
        <f t="shared" si="22"/>
        <v>Oct</v>
      </c>
      <c r="I708" s="51">
        <f t="shared" ca="1" si="23"/>
        <v>13</v>
      </c>
      <c r="J708" s="52" t="s">
        <v>257</v>
      </c>
      <c r="K708" s="53">
        <v>20650</v>
      </c>
      <c r="L708" s="54">
        <v>5</v>
      </c>
      <c r="M708" s="55"/>
    </row>
    <row r="709" spans="1:13" x14ac:dyDescent="0.25">
      <c r="A709" s="39" t="s">
        <v>1000</v>
      </c>
      <c r="B709" s="46" t="s">
        <v>285</v>
      </c>
      <c r="C709" s="39" t="s">
        <v>930</v>
      </c>
      <c r="D709" s="72">
        <v>483483618</v>
      </c>
      <c r="E709" s="73">
        <v>2526459263</v>
      </c>
      <c r="F709" s="39" t="s">
        <v>256</v>
      </c>
      <c r="G709" s="49">
        <v>36138</v>
      </c>
      <c r="H709" s="50" t="str">
        <f t="shared" si="22"/>
        <v>Dec</v>
      </c>
      <c r="I709" s="51">
        <f t="shared" ca="1" si="23"/>
        <v>17</v>
      </c>
      <c r="J709" s="52" t="s">
        <v>283</v>
      </c>
      <c r="K709" s="53">
        <v>40310</v>
      </c>
      <c r="L709" s="54">
        <v>5</v>
      </c>
      <c r="M709" s="55"/>
    </row>
    <row r="710" spans="1:13" x14ac:dyDescent="0.25">
      <c r="A710" s="39" t="s">
        <v>1001</v>
      </c>
      <c r="B710" s="46" t="s">
        <v>280</v>
      </c>
      <c r="C710" s="39" t="s">
        <v>930</v>
      </c>
      <c r="D710" s="72">
        <v>651999482</v>
      </c>
      <c r="E710" s="73">
        <v>2523014821</v>
      </c>
      <c r="F710" s="39" t="s">
        <v>256</v>
      </c>
      <c r="G710" s="49">
        <v>40680</v>
      </c>
      <c r="H710" s="50" t="str">
        <f t="shared" si="22"/>
        <v>May</v>
      </c>
      <c r="I710" s="51">
        <f t="shared" ca="1" si="23"/>
        <v>5</v>
      </c>
      <c r="J710" s="52" t="s">
        <v>257</v>
      </c>
      <c r="K710" s="53">
        <v>27380</v>
      </c>
      <c r="L710" s="54">
        <v>5</v>
      </c>
      <c r="M710" s="55"/>
    </row>
    <row r="711" spans="1:13" x14ac:dyDescent="0.25">
      <c r="A711" s="39" t="s">
        <v>1002</v>
      </c>
      <c r="B711" s="46" t="s">
        <v>271</v>
      </c>
      <c r="C711" s="39" t="s">
        <v>930</v>
      </c>
      <c r="D711" s="72">
        <v>317749924</v>
      </c>
      <c r="E711" s="73">
        <v>9193441810</v>
      </c>
      <c r="F711" s="39" t="s">
        <v>247</v>
      </c>
      <c r="G711" s="49">
        <v>34978</v>
      </c>
      <c r="H711" s="50" t="str">
        <f t="shared" si="22"/>
        <v>Oct</v>
      </c>
      <c r="I711" s="51">
        <f t="shared" ca="1" si="23"/>
        <v>21</v>
      </c>
      <c r="J711" s="52"/>
      <c r="K711" s="53">
        <v>75950</v>
      </c>
      <c r="L711" s="54">
        <v>5</v>
      </c>
      <c r="M711" s="55"/>
    </row>
    <row r="712" spans="1:13" x14ac:dyDescent="0.25">
      <c r="A712" s="39" t="s">
        <v>1003</v>
      </c>
      <c r="B712" s="46" t="s">
        <v>266</v>
      </c>
      <c r="C712" s="39" t="s">
        <v>930</v>
      </c>
      <c r="D712" s="72">
        <v>616055292</v>
      </c>
      <c r="E712" s="73">
        <v>9192913490</v>
      </c>
      <c r="F712" s="39" t="s">
        <v>256</v>
      </c>
      <c r="G712" s="49">
        <v>34922</v>
      </c>
      <c r="H712" s="50" t="str">
        <f t="shared" si="22"/>
        <v>Aug</v>
      </c>
      <c r="I712" s="51">
        <f t="shared" ca="1" si="23"/>
        <v>21</v>
      </c>
      <c r="J712" s="52" t="s">
        <v>267</v>
      </c>
      <c r="K712" s="53">
        <v>38590</v>
      </c>
      <c r="L712" s="54">
        <v>3</v>
      </c>
      <c r="M712" s="55"/>
    </row>
    <row r="713" spans="1:13" x14ac:dyDescent="0.25">
      <c r="A713" s="39" t="s">
        <v>1004</v>
      </c>
      <c r="B713" s="46" t="s">
        <v>271</v>
      </c>
      <c r="C713" s="39" t="s">
        <v>930</v>
      </c>
      <c r="D713" s="72">
        <v>318723704</v>
      </c>
      <c r="E713" s="73">
        <v>9196526117</v>
      </c>
      <c r="F713" s="39" t="s">
        <v>256</v>
      </c>
      <c r="G713" s="49">
        <v>35426</v>
      </c>
      <c r="H713" s="50" t="str">
        <f t="shared" si="22"/>
        <v>Dec</v>
      </c>
      <c r="I713" s="51">
        <f t="shared" ca="1" si="23"/>
        <v>19</v>
      </c>
      <c r="J713" s="52" t="s">
        <v>283</v>
      </c>
      <c r="K713" s="53">
        <v>88620</v>
      </c>
      <c r="L713" s="54">
        <v>2</v>
      </c>
      <c r="M713" s="55"/>
    </row>
    <row r="714" spans="1:13" x14ac:dyDescent="0.25">
      <c r="A714" s="39" t="s">
        <v>1005</v>
      </c>
      <c r="B714" s="46" t="s">
        <v>266</v>
      </c>
      <c r="C714" s="39" t="s">
        <v>930</v>
      </c>
      <c r="D714" s="72">
        <v>626648632</v>
      </c>
      <c r="E714" s="73">
        <v>2526412482</v>
      </c>
      <c r="F714" s="39" t="s">
        <v>247</v>
      </c>
      <c r="G714" s="49">
        <v>38454</v>
      </c>
      <c r="H714" s="50" t="str">
        <f t="shared" si="22"/>
        <v>Apr</v>
      </c>
      <c r="I714" s="51">
        <f t="shared" ca="1" si="23"/>
        <v>11</v>
      </c>
      <c r="J714" s="52"/>
      <c r="K714" s="53">
        <v>58910</v>
      </c>
      <c r="L714" s="54">
        <v>4</v>
      </c>
      <c r="M714" s="55"/>
    </row>
    <row r="715" spans="1:13" x14ac:dyDescent="0.25">
      <c r="A715" s="39" t="s">
        <v>1006</v>
      </c>
      <c r="B715" s="46" t="s">
        <v>285</v>
      </c>
      <c r="C715" s="39" t="s">
        <v>930</v>
      </c>
      <c r="D715" s="72">
        <v>892040187</v>
      </c>
      <c r="E715" s="73">
        <v>2524877123</v>
      </c>
      <c r="F715" s="39" t="s">
        <v>256</v>
      </c>
      <c r="G715" s="49">
        <v>35287</v>
      </c>
      <c r="H715" s="50" t="str">
        <f t="shared" si="22"/>
        <v>Aug</v>
      </c>
      <c r="I715" s="51">
        <f t="shared" ca="1" si="23"/>
        <v>20</v>
      </c>
      <c r="J715" s="52" t="s">
        <v>283</v>
      </c>
      <c r="K715" s="53">
        <v>104660</v>
      </c>
      <c r="L715" s="54">
        <v>1</v>
      </c>
      <c r="M715" s="55"/>
    </row>
    <row r="716" spans="1:13" x14ac:dyDescent="0.25">
      <c r="A716" s="39" t="s">
        <v>1007</v>
      </c>
      <c r="B716" s="46" t="s">
        <v>271</v>
      </c>
      <c r="C716" s="39" t="s">
        <v>930</v>
      </c>
      <c r="D716" s="72">
        <v>793256568</v>
      </c>
      <c r="E716" s="73">
        <v>9196999991</v>
      </c>
      <c r="F716" s="39" t="s">
        <v>256</v>
      </c>
      <c r="G716" s="49">
        <v>36365</v>
      </c>
      <c r="H716" s="50" t="str">
        <f t="shared" si="22"/>
        <v>Jul</v>
      </c>
      <c r="I716" s="51">
        <f t="shared" ca="1" si="23"/>
        <v>17</v>
      </c>
      <c r="J716" s="52" t="s">
        <v>257</v>
      </c>
      <c r="K716" s="53">
        <v>32560</v>
      </c>
      <c r="L716" s="54">
        <v>5</v>
      </c>
      <c r="M716" s="55"/>
    </row>
    <row r="717" spans="1:13" x14ac:dyDescent="0.25">
      <c r="A717" s="39" t="s">
        <v>1008</v>
      </c>
      <c r="B717" s="46" t="s">
        <v>285</v>
      </c>
      <c r="C717" s="39" t="s">
        <v>930</v>
      </c>
      <c r="D717" s="72">
        <v>240241467</v>
      </c>
      <c r="E717" s="73">
        <v>2524914916</v>
      </c>
      <c r="F717" s="39" t="s">
        <v>252</v>
      </c>
      <c r="G717" s="49">
        <v>36577</v>
      </c>
      <c r="H717" s="50" t="str">
        <f t="shared" si="22"/>
        <v>Feb</v>
      </c>
      <c r="I717" s="51">
        <f t="shared" ca="1" si="23"/>
        <v>16</v>
      </c>
      <c r="J717" s="52"/>
      <c r="K717" s="53">
        <v>34520</v>
      </c>
      <c r="L717" s="54">
        <v>3</v>
      </c>
      <c r="M717" s="55"/>
    </row>
    <row r="718" spans="1:13" x14ac:dyDescent="0.25">
      <c r="A718" s="39" t="s">
        <v>1009</v>
      </c>
      <c r="B718" s="46" t="s">
        <v>271</v>
      </c>
      <c r="C718" s="39" t="s">
        <v>930</v>
      </c>
      <c r="D718" s="72">
        <v>159594851</v>
      </c>
      <c r="E718" s="73">
        <v>9194084456</v>
      </c>
      <c r="F718" s="39" t="s">
        <v>256</v>
      </c>
      <c r="G718" s="49">
        <v>41681</v>
      </c>
      <c r="H718" s="50" t="str">
        <f t="shared" si="22"/>
        <v>Feb</v>
      </c>
      <c r="I718" s="51">
        <f t="shared" ca="1" si="23"/>
        <v>2</v>
      </c>
      <c r="J718" s="52" t="s">
        <v>276</v>
      </c>
      <c r="K718" s="53">
        <v>48310</v>
      </c>
      <c r="L718" s="54">
        <v>5</v>
      </c>
      <c r="M718" s="55"/>
    </row>
    <row r="719" spans="1:13" x14ac:dyDescent="0.25">
      <c r="A719" s="39" t="s">
        <v>1010</v>
      </c>
      <c r="B719" s="46" t="s">
        <v>271</v>
      </c>
      <c r="C719" s="39" t="s">
        <v>930</v>
      </c>
      <c r="D719" s="72">
        <v>876082195</v>
      </c>
      <c r="E719" s="73">
        <v>2526049607</v>
      </c>
      <c r="F719" s="39" t="s">
        <v>256</v>
      </c>
      <c r="G719" s="49">
        <v>37331</v>
      </c>
      <c r="H719" s="50" t="str">
        <f t="shared" si="22"/>
        <v>Mar</v>
      </c>
      <c r="I719" s="51">
        <f t="shared" ca="1" si="23"/>
        <v>14</v>
      </c>
      <c r="J719" s="52" t="s">
        <v>276</v>
      </c>
      <c r="K719" s="53">
        <v>74220</v>
      </c>
      <c r="L719" s="54">
        <v>2</v>
      </c>
      <c r="M719" s="55"/>
    </row>
    <row r="720" spans="1:13" x14ac:dyDescent="0.25">
      <c r="A720" s="39" t="s">
        <v>1011</v>
      </c>
      <c r="B720" s="46" t="s">
        <v>245</v>
      </c>
      <c r="C720" s="39" t="s">
        <v>930</v>
      </c>
      <c r="D720" s="72">
        <v>502580266</v>
      </c>
      <c r="E720" s="73">
        <v>9197103200</v>
      </c>
      <c r="F720" s="39" t="s">
        <v>252</v>
      </c>
      <c r="G720" s="49">
        <v>39647</v>
      </c>
      <c r="H720" s="50" t="str">
        <f t="shared" si="22"/>
        <v>Jul</v>
      </c>
      <c r="I720" s="51">
        <f t="shared" ca="1" si="23"/>
        <v>8</v>
      </c>
      <c r="J720" s="52"/>
      <c r="K720" s="53">
        <v>44810</v>
      </c>
      <c r="L720" s="54">
        <v>2</v>
      </c>
      <c r="M720" s="55"/>
    </row>
    <row r="721" spans="1:13" x14ac:dyDescent="0.25">
      <c r="A721" s="39" t="s">
        <v>1012</v>
      </c>
      <c r="B721" s="46" t="s">
        <v>285</v>
      </c>
      <c r="C721" s="39" t="s">
        <v>930</v>
      </c>
      <c r="D721" s="72">
        <v>287476507</v>
      </c>
      <c r="E721" s="73">
        <v>9191509619</v>
      </c>
      <c r="F721" s="39" t="s">
        <v>261</v>
      </c>
      <c r="G721" s="49">
        <v>35006</v>
      </c>
      <c r="H721" s="50" t="str">
        <f t="shared" si="22"/>
        <v>Nov</v>
      </c>
      <c r="I721" s="51">
        <f t="shared" ca="1" si="23"/>
        <v>21</v>
      </c>
      <c r="J721" s="52" t="s">
        <v>257</v>
      </c>
      <c r="K721" s="53">
        <v>23920</v>
      </c>
      <c r="L721" s="54">
        <v>1</v>
      </c>
      <c r="M721" s="55"/>
    </row>
    <row r="722" spans="1:13" x14ac:dyDescent="0.25">
      <c r="A722" s="39" t="s">
        <v>1013</v>
      </c>
      <c r="B722" s="46" t="s">
        <v>245</v>
      </c>
      <c r="C722" s="39" t="s">
        <v>930</v>
      </c>
      <c r="D722" s="72">
        <v>610340294</v>
      </c>
      <c r="E722" s="73">
        <v>9198443818</v>
      </c>
      <c r="F722" s="39" t="s">
        <v>247</v>
      </c>
      <c r="G722" s="49">
        <v>34821</v>
      </c>
      <c r="H722" s="50" t="str">
        <f t="shared" si="22"/>
        <v>May</v>
      </c>
      <c r="I722" s="51">
        <f t="shared" ca="1" si="23"/>
        <v>21</v>
      </c>
      <c r="J722" s="52"/>
      <c r="K722" s="53">
        <v>84360</v>
      </c>
      <c r="L722" s="54">
        <v>3</v>
      </c>
      <c r="M722" s="55"/>
    </row>
    <row r="723" spans="1:13" x14ac:dyDescent="0.25">
      <c r="A723" s="39" t="s">
        <v>1014</v>
      </c>
      <c r="B723" s="46" t="s">
        <v>285</v>
      </c>
      <c r="C723" s="39" t="s">
        <v>930</v>
      </c>
      <c r="D723" s="72">
        <v>121173068</v>
      </c>
      <c r="E723" s="73">
        <v>9196778600</v>
      </c>
      <c r="F723" s="39" t="s">
        <v>256</v>
      </c>
      <c r="G723" s="49">
        <v>41569</v>
      </c>
      <c r="H723" s="50" t="str">
        <f t="shared" si="22"/>
        <v>Oct</v>
      </c>
      <c r="I723" s="51">
        <f t="shared" ca="1" si="23"/>
        <v>3</v>
      </c>
      <c r="J723" s="52" t="s">
        <v>257</v>
      </c>
      <c r="K723" s="53">
        <v>55670</v>
      </c>
      <c r="L723" s="54">
        <v>5</v>
      </c>
      <c r="M723" s="55"/>
    </row>
    <row r="724" spans="1:13" x14ac:dyDescent="0.25">
      <c r="A724" s="39" t="s">
        <v>1015</v>
      </c>
      <c r="B724" s="46" t="s">
        <v>280</v>
      </c>
      <c r="C724" s="39" t="s">
        <v>930</v>
      </c>
      <c r="D724" s="72">
        <v>641962645</v>
      </c>
      <c r="E724" s="73">
        <v>9196965088</v>
      </c>
      <c r="F724" s="39" t="s">
        <v>247</v>
      </c>
      <c r="G724" s="49">
        <v>35136</v>
      </c>
      <c r="H724" s="50" t="str">
        <f t="shared" si="22"/>
        <v>Mar</v>
      </c>
      <c r="I724" s="51">
        <f t="shared" ca="1" si="23"/>
        <v>20</v>
      </c>
      <c r="J724" s="52"/>
      <c r="K724" s="53">
        <v>94310</v>
      </c>
      <c r="L724" s="54">
        <v>1</v>
      </c>
      <c r="M724" s="55"/>
    </row>
    <row r="725" spans="1:13" x14ac:dyDescent="0.25">
      <c r="A725" s="39" t="s">
        <v>1016</v>
      </c>
      <c r="B725" s="46" t="s">
        <v>285</v>
      </c>
      <c r="C725" s="39" t="s">
        <v>930</v>
      </c>
      <c r="D725" s="72">
        <v>992674973</v>
      </c>
      <c r="E725" s="73">
        <v>2526088101</v>
      </c>
      <c r="F725" s="39" t="s">
        <v>256</v>
      </c>
      <c r="G725" s="49">
        <v>36053</v>
      </c>
      <c r="H725" s="50" t="str">
        <f t="shared" si="22"/>
        <v>Sep</v>
      </c>
      <c r="I725" s="51">
        <f t="shared" ca="1" si="23"/>
        <v>18</v>
      </c>
      <c r="J725" s="52" t="s">
        <v>267</v>
      </c>
      <c r="K725" s="53">
        <v>77740</v>
      </c>
      <c r="L725" s="54">
        <v>5</v>
      </c>
      <c r="M725" s="55"/>
    </row>
    <row r="726" spans="1:13" x14ac:dyDescent="0.25">
      <c r="A726" s="39" t="s">
        <v>1017</v>
      </c>
      <c r="B726" s="46" t="s">
        <v>251</v>
      </c>
      <c r="C726" s="39" t="s">
        <v>930</v>
      </c>
      <c r="D726" s="72">
        <v>332494481</v>
      </c>
      <c r="E726" s="73">
        <v>9192094386</v>
      </c>
      <c r="F726" s="39" t="s">
        <v>256</v>
      </c>
      <c r="G726" s="49">
        <v>37081</v>
      </c>
      <c r="H726" s="50" t="str">
        <f t="shared" si="22"/>
        <v>Jul</v>
      </c>
      <c r="I726" s="51">
        <f t="shared" ca="1" si="23"/>
        <v>15</v>
      </c>
      <c r="J726" s="52" t="s">
        <v>283</v>
      </c>
      <c r="K726" s="53">
        <v>58090</v>
      </c>
      <c r="L726" s="54">
        <v>5</v>
      </c>
      <c r="M726" s="55"/>
    </row>
    <row r="727" spans="1:13" x14ac:dyDescent="0.25">
      <c r="A727" s="39" t="s">
        <v>1018</v>
      </c>
      <c r="B727" s="46" t="s">
        <v>285</v>
      </c>
      <c r="C727" s="39" t="s">
        <v>930</v>
      </c>
      <c r="D727" s="72">
        <v>296641985</v>
      </c>
      <c r="E727" s="73">
        <v>2528217409</v>
      </c>
      <c r="F727" s="39" t="s">
        <v>256</v>
      </c>
      <c r="G727" s="49">
        <v>36628</v>
      </c>
      <c r="H727" s="50" t="str">
        <f t="shared" si="22"/>
        <v>Apr</v>
      </c>
      <c r="I727" s="51">
        <f t="shared" ca="1" si="23"/>
        <v>16</v>
      </c>
      <c r="J727" s="52" t="s">
        <v>283</v>
      </c>
      <c r="K727" s="53">
        <v>49660</v>
      </c>
      <c r="L727" s="54">
        <v>2</v>
      </c>
      <c r="M727" s="55"/>
    </row>
    <row r="728" spans="1:13" x14ac:dyDescent="0.25">
      <c r="A728" s="39" t="s">
        <v>1019</v>
      </c>
      <c r="B728" s="46" t="s">
        <v>266</v>
      </c>
      <c r="C728" s="39" t="s">
        <v>930</v>
      </c>
      <c r="D728" s="72">
        <v>929694686</v>
      </c>
      <c r="E728" s="73">
        <v>9194483888</v>
      </c>
      <c r="F728" s="39" t="s">
        <v>256</v>
      </c>
      <c r="G728" s="49">
        <v>41537</v>
      </c>
      <c r="H728" s="50" t="str">
        <f t="shared" si="22"/>
        <v>Sep</v>
      </c>
      <c r="I728" s="51">
        <f t="shared" ca="1" si="23"/>
        <v>3</v>
      </c>
      <c r="J728" s="52" t="s">
        <v>283</v>
      </c>
      <c r="K728" s="53">
        <v>84880</v>
      </c>
      <c r="L728" s="54">
        <v>1</v>
      </c>
      <c r="M728" s="55"/>
    </row>
    <row r="729" spans="1:13" x14ac:dyDescent="0.25">
      <c r="A729" s="39" t="s">
        <v>1020</v>
      </c>
      <c r="B729" s="46" t="s">
        <v>285</v>
      </c>
      <c r="C729" s="39" t="s">
        <v>930</v>
      </c>
      <c r="D729" s="72">
        <v>186346711</v>
      </c>
      <c r="E729" s="73">
        <v>9194900514</v>
      </c>
      <c r="F729" s="39" t="s">
        <v>256</v>
      </c>
      <c r="G729" s="49">
        <v>37620</v>
      </c>
      <c r="H729" s="50" t="str">
        <f t="shared" si="22"/>
        <v>Dec</v>
      </c>
      <c r="I729" s="51">
        <f t="shared" ca="1" si="23"/>
        <v>13</v>
      </c>
      <c r="J729" s="52" t="s">
        <v>262</v>
      </c>
      <c r="K729" s="53">
        <v>86360</v>
      </c>
      <c r="L729" s="54">
        <v>4</v>
      </c>
      <c r="M729" s="55"/>
    </row>
    <row r="730" spans="1:13" x14ac:dyDescent="0.25">
      <c r="A730" s="39" t="s">
        <v>1021</v>
      </c>
      <c r="B730" s="46" t="s">
        <v>271</v>
      </c>
      <c r="C730" s="39" t="s">
        <v>930</v>
      </c>
      <c r="D730" s="72">
        <v>964255290</v>
      </c>
      <c r="E730" s="73">
        <v>9197446192</v>
      </c>
      <c r="F730" s="39" t="s">
        <v>256</v>
      </c>
      <c r="G730" s="49">
        <v>41019</v>
      </c>
      <c r="H730" s="50" t="str">
        <f t="shared" si="22"/>
        <v>Apr</v>
      </c>
      <c r="I730" s="51">
        <f t="shared" ca="1" si="23"/>
        <v>4</v>
      </c>
      <c r="J730" s="52" t="s">
        <v>283</v>
      </c>
      <c r="K730" s="53">
        <v>41990</v>
      </c>
      <c r="L730" s="54">
        <v>3</v>
      </c>
      <c r="M730" s="55"/>
    </row>
    <row r="731" spans="1:13" x14ac:dyDescent="0.25">
      <c r="A731" s="39" t="s">
        <v>1022</v>
      </c>
      <c r="B731" s="46" t="s">
        <v>251</v>
      </c>
      <c r="C731" s="39" t="s">
        <v>930</v>
      </c>
      <c r="D731" s="72">
        <v>799754905</v>
      </c>
      <c r="E731" s="73">
        <v>2526757210</v>
      </c>
      <c r="F731" s="39" t="s">
        <v>256</v>
      </c>
      <c r="G731" s="49">
        <v>36308</v>
      </c>
      <c r="H731" s="50" t="str">
        <f t="shared" si="22"/>
        <v>May</v>
      </c>
      <c r="I731" s="51">
        <f t="shared" ca="1" si="23"/>
        <v>17</v>
      </c>
      <c r="J731" s="52" t="s">
        <v>257</v>
      </c>
      <c r="K731" s="53">
        <v>38030</v>
      </c>
      <c r="L731" s="54">
        <v>4</v>
      </c>
      <c r="M731" s="55"/>
    </row>
    <row r="732" spans="1:13" x14ac:dyDescent="0.25">
      <c r="A732" s="39" t="s">
        <v>1023</v>
      </c>
      <c r="B732" s="46" t="s">
        <v>280</v>
      </c>
      <c r="C732" s="39" t="s">
        <v>930</v>
      </c>
      <c r="D732" s="72">
        <v>843299208</v>
      </c>
      <c r="E732" s="73">
        <v>9198631557</v>
      </c>
      <c r="F732" s="39" t="s">
        <v>261</v>
      </c>
      <c r="G732" s="49">
        <v>40536</v>
      </c>
      <c r="H732" s="50" t="str">
        <f t="shared" si="22"/>
        <v>Dec</v>
      </c>
      <c r="I732" s="51">
        <f t="shared" ca="1" si="23"/>
        <v>5</v>
      </c>
      <c r="J732" s="52" t="s">
        <v>276</v>
      </c>
      <c r="K732" s="53">
        <v>58900</v>
      </c>
      <c r="L732" s="54">
        <v>5</v>
      </c>
      <c r="M732" s="55"/>
    </row>
    <row r="733" spans="1:13" x14ac:dyDescent="0.25">
      <c r="A733" s="39" t="s">
        <v>1024</v>
      </c>
      <c r="B733" s="46" t="s">
        <v>266</v>
      </c>
      <c r="C733" s="39" t="s">
        <v>1025</v>
      </c>
      <c r="D733" s="72">
        <v>443926890</v>
      </c>
      <c r="E733" s="73">
        <v>2524411859</v>
      </c>
      <c r="F733" s="39" t="s">
        <v>256</v>
      </c>
      <c r="G733" s="49">
        <v>38685</v>
      </c>
      <c r="H733" s="50" t="str">
        <f t="shared" si="22"/>
        <v>Nov</v>
      </c>
      <c r="I733" s="51">
        <f t="shared" ca="1" si="23"/>
        <v>10</v>
      </c>
      <c r="J733" s="52" t="s">
        <v>283</v>
      </c>
      <c r="K733" s="53">
        <v>51360</v>
      </c>
      <c r="L733" s="54">
        <v>5</v>
      </c>
      <c r="M733" s="55"/>
    </row>
    <row r="734" spans="1:13" x14ac:dyDescent="0.25">
      <c r="A734" s="39" t="s">
        <v>1026</v>
      </c>
      <c r="B734" s="46" t="s">
        <v>245</v>
      </c>
      <c r="C734" s="39" t="s">
        <v>1025</v>
      </c>
      <c r="D734" s="72">
        <v>776823797</v>
      </c>
      <c r="E734" s="73">
        <v>9193482736</v>
      </c>
      <c r="F734" s="39" t="s">
        <v>247</v>
      </c>
      <c r="G734" s="49">
        <v>34388</v>
      </c>
      <c r="H734" s="50" t="str">
        <f t="shared" si="22"/>
        <v>Feb</v>
      </c>
      <c r="I734" s="51">
        <f t="shared" ca="1" si="23"/>
        <v>22</v>
      </c>
      <c r="J734" s="52"/>
      <c r="K734" s="53">
        <v>102610</v>
      </c>
      <c r="L734" s="54">
        <v>4</v>
      </c>
      <c r="M734" s="55"/>
    </row>
    <row r="735" spans="1:13" x14ac:dyDescent="0.25">
      <c r="A735" s="39" t="s">
        <v>1027</v>
      </c>
      <c r="B735" s="46" t="s">
        <v>245</v>
      </c>
      <c r="C735" s="39" t="s">
        <v>1025</v>
      </c>
      <c r="D735" s="72">
        <v>797985708</v>
      </c>
      <c r="E735" s="73">
        <v>9193578185</v>
      </c>
      <c r="F735" s="39" t="s">
        <v>256</v>
      </c>
      <c r="G735" s="49">
        <v>38074</v>
      </c>
      <c r="H735" s="50" t="str">
        <f t="shared" si="22"/>
        <v>Mar</v>
      </c>
      <c r="I735" s="51">
        <f t="shared" ca="1" si="23"/>
        <v>12</v>
      </c>
      <c r="J735" s="52" t="s">
        <v>276</v>
      </c>
      <c r="K735" s="53">
        <v>48820</v>
      </c>
      <c r="L735" s="54">
        <v>5</v>
      </c>
      <c r="M735" s="55"/>
    </row>
    <row r="736" spans="1:13" x14ac:dyDescent="0.25">
      <c r="A736" s="39" t="s">
        <v>1028</v>
      </c>
      <c r="B736" s="46" t="s">
        <v>271</v>
      </c>
      <c r="C736" s="39" t="s">
        <v>1025</v>
      </c>
      <c r="D736" s="72">
        <v>510700395</v>
      </c>
      <c r="E736" s="73">
        <v>9196690862</v>
      </c>
      <c r="F736" s="39" t="s">
        <v>256</v>
      </c>
      <c r="G736" s="49">
        <v>37992</v>
      </c>
      <c r="H736" s="50" t="str">
        <f t="shared" si="22"/>
        <v>Jan</v>
      </c>
      <c r="I736" s="51">
        <f t="shared" ca="1" si="23"/>
        <v>12</v>
      </c>
      <c r="J736" s="52" t="s">
        <v>257</v>
      </c>
      <c r="K736" s="53">
        <v>76400</v>
      </c>
      <c r="L736" s="54">
        <v>5</v>
      </c>
      <c r="M736" s="55"/>
    </row>
    <row r="737" spans="1:15" x14ac:dyDescent="0.25">
      <c r="A737" s="39" t="s">
        <v>1029</v>
      </c>
      <c r="B737" s="46" t="s">
        <v>271</v>
      </c>
      <c r="C737" s="39" t="s">
        <v>1025</v>
      </c>
      <c r="D737" s="72">
        <v>106099892</v>
      </c>
      <c r="E737" s="73">
        <v>9194436681</v>
      </c>
      <c r="F737" s="39" t="s">
        <v>247</v>
      </c>
      <c r="G737" s="49">
        <v>41720</v>
      </c>
      <c r="H737" s="50" t="str">
        <f t="shared" si="22"/>
        <v>Mar</v>
      </c>
      <c r="I737" s="51">
        <f t="shared" ca="1" si="23"/>
        <v>2</v>
      </c>
      <c r="J737" s="52"/>
      <c r="K737" s="53">
        <v>79360</v>
      </c>
      <c r="L737" s="54">
        <v>4</v>
      </c>
      <c r="M737" s="55"/>
    </row>
    <row r="738" spans="1:15" x14ac:dyDescent="0.25">
      <c r="A738" s="39" t="s">
        <v>1030</v>
      </c>
      <c r="B738" s="46" t="s">
        <v>285</v>
      </c>
      <c r="C738" s="39" t="s">
        <v>1031</v>
      </c>
      <c r="D738" s="72">
        <v>978092408</v>
      </c>
      <c r="E738" s="73">
        <v>9191888279</v>
      </c>
      <c r="F738" s="39" t="s">
        <v>247</v>
      </c>
      <c r="G738" s="49">
        <v>35526</v>
      </c>
      <c r="H738" s="50" t="str">
        <f t="shared" si="22"/>
        <v>Apr</v>
      </c>
      <c r="I738" s="51">
        <f t="shared" ca="1" si="23"/>
        <v>19</v>
      </c>
      <c r="J738" s="52"/>
      <c r="K738" s="53">
        <v>77660</v>
      </c>
      <c r="L738" s="54">
        <v>5</v>
      </c>
      <c r="M738" s="55"/>
    </row>
    <row r="739" spans="1:15" x14ac:dyDescent="0.25">
      <c r="A739" s="39" t="s">
        <v>1032</v>
      </c>
      <c r="B739" s="46" t="s">
        <v>266</v>
      </c>
      <c r="C739" s="39" t="s">
        <v>1031</v>
      </c>
      <c r="D739" s="72">
        <v>827277063</v>
      </c>
      <c r="E739" s="73">
        <v>2528873234</v>
      </c>
      <c r="F739" s="39" t="s">
        <v>252</v>
      </c>
      <c r="G739" s="49">
        <v>41544</v>
      </c>
      <c r="H739" s="50" t="str">
        <f t="shared" si="22"/>
        <v>Sep</v>
      </c>
      <c r="I739" s="51">
        <f t="shared" ca="1" si="23"/>
        <v>3</v>
      </c>
      <c r="J739" s="52"/>
      <c r="K739" s="53">
        <v>22850</v>
      </c>
      <c r="L739" s="54">
        <v>1</v>
      </c>
      <c r="M739" s="55"/>
      <c r="O739" s="75"/>
    </row>
    <row r="740" spans="1:15" x14ac:dyDescent="0.25">
      <c r="A740" s="39" t="s">
        <v>1033</v>
      </c>
      <c r="B740" s="46" t="s">
        <v>266</v>
      </c>
      <c r="C740" s="39" t="s">
        <v>1031</v>
      </c>
      <c r="D740" s="72">
        <v>495372474</v>
      </c>
      <c r="E740" s="73">
        <v>9194137278</v>
      </c>
      <c r="F740" s="39" t="s">
        <v>261</v>
      </c>
      <c r="G740" s="49">
        <v>37558</v>
      </c>
      <c r="H740" s="50" t="str">
        <f t="shared" si="22"/>
        <v>Oct</v>
      </c>
      <c r="I740" s="51">
        <f t="shared" ca="1" si="23"/>
        <v>14</v>
      </c>
      <c r="J740" s="52" t="s">
        <v>257</v>
      </c>
      <c r="K740" s="53">
        <v>37500</v>
      </c>
      <c r="L740" s="54">
        <v>2</v>
      </c>
      <c r="M740" s="55"/>
    </row>
    <row r="741" spans="1:15" x14ac:dyDescent="0.25">
      <c r="A741" s="39" t="s">
        <v>1034</v>
      </c>
      <c r="B741" s="46" t="s">
        <v>285</v>
      </c>
      <c r="C741" s="39" t="s">
        <v>1031</v>
      </c>
      <c r="D741" s="72">
        <v>183135788</v>
      </c>
      <c r="E741" s="73">
        <v>2521198851</v>
      </c>
      <c r="F741" s="39" t="s">
        <v>247</v>
      </c>
      <c r="G741" s="49">
        <v>35004</v>
      </c>
      <c r="H741" s="50" t="str">
        <f t="shared" si="22"/>
        <v>Nov</v>
      </c>
      <c r="I741" s="51">
        <f t="shared" ca="1" si="23"/>
        <v>21</v>
      </c>
      <c r="J741" s="52"/>
      <c r="K741" s="53">
        <v>72910</v>
      </c>
      <c r="L741" s="54">
        <v>2</v>
      </c>
      <c r="M741" s="55"/>
      <c r="O741" s="75"/>
    </row>
    <row r="742" spans="1:15" x14ac:dyDescent="0.25">
      <c r="A742" s="39" t="s">
        <v>1035</v>
      </c>
      <c r="B742" s="46" t="s">
        <v>251</v>
      </c>
      <c r="C742" s="39" t="s">
        <v>1031</v>
      </c>
      <c r="D742" s="72">
        <v>383616821</v>
      </c>
      <c r="E742" s="73">
        <v>2524989537</v>
      </c>
      <c r="F742" s="39" t="s">
        <v>256</v>
      </c>
      <c r="G742" s="49">
        <v>41385</v>
      </c>
      <c r="H742" s="50" t="str">
        <f t="shared" si="22"/>
        <v>Apr</v>
      </c>
      <c r="I742" s="51">
        <f t="shared" ca="1" si="23"/>
        <v>3</v>
      </c>
      <c r="J742" s="52" t="s">
        <v>257</v>
      </c>
      <c r="K742" s="53">
        <v>56020</v>
      </c>
      <c r="L742" s="54">
        <v>1</v>
      </c>
      <c r="M742" s="55"/>
    </row>
  </sheetData>
  <dataConsolidate/>
  <dataValidations count="1">
    <dataValidation type="whole" allowBlank="1" showInputMessage="1" showErrorMessage="1" sqref="K1:K1048576">
      <formula1>40000</formula1>
      <formula2>60000</formula2>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I785"/>
  <sheetViews>
    <sheetView zoomScale="145" zoomScaleNormal="145" workbookViewId="0">
      <selection activeCell="B35" sqref="B35"/>
    </sheetView>
  </sheetViews>
  <sheetFormatPr defaultRowHeight="12.75" x14ac:dyDescent="0.2"/>
  <cols>
    <col min="1" max="1" width="37.7109375" style="90" bestFit="1" customWidth="1"/>
    <col min="2" max="2" width="8.7109375" style="90" bestFit="1" customWidth="1"/>
    <col min="3" max="3" width="27.7109375" style="90" bestFit="1" customWidth="1"/>
    <col min="4" max="4" width="9.42578125" style="90" bestFit="1" customWidth="1"/>
    <col min="5" max="5" width="9.5703125" style="90" bestFit="1" customWidth="1"/>
    <col min="6" max="6" width="6.140625" style="90" bestFit="1" customWidth="1"/>
    <col min="7" max="7" width="8.140625" style="90" bestFit="1" customWidth="1"/>
    <col min="8" max="8" width="9.5703125" style="90" bestFit="1" customWidth="1"/>
    <col min="9" max="9" width="10.85546875" style="90" bestFit="1" customWidth="1"/>
    <col min="10" max="16384" width="9.140625" style="90"/>
  </cols>
  <sheetData>
    <row r="1" spans="1:9" x14ac:dyDescent="0.2">
      <c r="A1" s="85" t="s">
        <v>229</v>
      </c>
      <c r="B1" s="86" t="s">
        <v>230</v>
      </c>
      <c r="C1" s="87" t="s">
        <v>231</v>
      </c>
      <c r="D1" s="87" t="s">
        <v>234</v>
      </c>
      <c r="E1" s="88" t="s">
        <v>235</v>
      </c>
      <c r="F1" s="88" t="s">
        <v>237</v>
      </c>
      <c r="G1" s="87" t="s">
        <v>238</v>
      </c>
      <c r="H1" s="89" t="s">
        <v>239</v>
      </c>
      <c r="I1" s="86" t="s">
        <v>240</v>
      </c>
    </row>
    <row r="2" spans="1:9" ht="13.5" x14ac:dyDescent="0.25">
      <c r="A2" s="91" t="s">
        <v>766</v>
      </c>
      <c r="B2" s="92" t="s">
        <v>245</v>
      </c>
      <c r="C2" s="91" t="s">
        <v>246</v>
      </c>
      <c r="D2" s="91" t="s">
        <v>256</v>
      </c>
      <c r="E2" s="93">
        <v>34861</v>
      </c>
      <c r="F2" s="94">
        <f t="shared" ref="F2:F7" ca="1" si="0">DATEDIF(E2,TODAY(),"Y")</f>
        <v>21</v>
      </c>
      <c r="G2" s="95" t="s">
        <v>257</v>
      </c>
      <c r="H2" s="96">
        <v>24550</v>
      </c>
      <c r="I2" s="97">
        <v>1</v>
      </c>
    </row>
    <row r="3" spans="1:9" ht="13.5" x14ac:dyDescent="0.25">
      <c r="A3" s="91" t="s">
        <v>1024</v>
      </c>
      <c r="B3" s="92" t="s">
        <v>245</v>
      </c>
      <c r="C3" s="91" t="s">
        <v>246</v>
      </c>
      <c r="D3" s="91" t="s">
        <v>247</v>
      </c>
      <c r="E3" s="93">
        <v>37107</v>
      </c>
      <c r="F3" s="94">
        <f t="shared" ca="1" si="0"/>
        <v>15</v>
      </c>
      <c r="G3" s="95"/>
      <c r="H3" s="96">
        <v>42540</v>
      </c>
      <c r="I3" s="97">
        <v>5</v>
      </c>
    </row>
    <row r="4" spans="1:9" ht="13.5" x14ac:dyDescent="0.25">
      <c r="A4" s="91" t="s">
        <v>627</v>
      </c>
      <c r="B4" s="92" t="s">
        <v>266</v>
      </c>
      <c r="C4" s="91" t="s">
        <v>246</v>
      </c>
      <c r="D4" s="91" t="s">
        <v>256</v>
      </c>
      <c r="E4" s="93">
        <v>38137</v>
      </c>
      <c r="F4" s="94">
        <f t="shared" ca="1" si="0"/>
        <v>12</v>
      </c>
      <c r="G4" s="95" t="s">
        <v>267</v>
      </c>
      <c r="H4" s="96">
        <v>72830</v>
      </c>
      <c r="I4" s="97">
        <v>2</v>
      </c>
    </row>
    <row r="5" spans="1:9" ht="13.5" x14ac:dyDescent="0.25">
      <c r="A5" s="91" t="s">
        <v>627</v>
      </c>
      <c r="B5" s="92" t="s">
        <v>266</v>
      </c>
      <c r="C5" s="91" t="s">
        <v>246</v>
      </c>
      <c r="D5" s="91" t="s">
        <v>256</v>
      </c>
      <c r="E5" s="93">
        <v>38137</v>
      </c>
      <c r="F5" s="94">
        <f t="shared" ca="1" si="0"/>
        <v>12</v>
      </c>
      <c r="G5" s="95" t="s">
        <v>267</v>
      </c>
      <c r="H5" s="96">
        <v>72830</v>
      </c>
      <c r="I5" s="97">
        <v>2</v>
      </c>
    </row>
    <row r="6" spans="1:9" ht="13.5" x14ac:dyDescent="0.25">
      <c r="A6" s="91" t="s">
        <v>619</v>
      </c>
      <c r="B6" s="92" t="s">
        <v>245</v>
      </c>
      <c r="C6" s="91" t="s">
        <v>246</v>
      </c>
      <c r="D6" s="91" t="s">
        <v>261</v>
      </c>
      <c r="E6" s="93">
        <v>31980</v>
      </c>
      <c r="F6" s="94">
        <f t="shared" ca="1" si="0"/>
        <v>29</v>
      </c>
      <c r="G6" s="95" t="s">
        <v>262</v>
      </c>
      <c r="H6" s="96">
        <v>26795</v>
      </c>
      <c r="I6" s="97">
        <v>4</v>
      </c>
    </row>
    <row r="7" spans="1:9" ht="13.5" x14ac:dyDescent="0.25">
      <c r="A7" s="91" t="s">
        <v>430</v>
      </c>
      <c r="B7" s="92" t="s">
        <v>251</v>
      </c>
      <c r="C7" s="91" t="s">
        <v>246</v>
      </c>
      <c r="D7" s="91" t="s">
        <v>252</v>
      </c>
      <c r="E7" s="93">
        <v>32536</v>
      </c>
      <c r="F7" s="94">
        <f t="shared" ca="1" si="0"/>
        <v>27</v>
      </c>
      <c r="G7" s="95"/>
      <c r="H7" s="96">
        <v>35680</v>
      </c>
      <c r="I7" s="97">
        <v>2</v>
      </c>
    </row>
    <row r="8" spans="1:9" ht="13.5" x14ac:dyDescent="0.25">
      <c r="A8" s="98" t="s">
        <v>1036</v>
      </c>
      <c r="B8" s="92"/>
      <c r="C8" s="98"/>
      <c r="D8" s="91"/>
      <c r="E8" s="93"/>
      <c r="F8" s="94"/>
      <c r="G8" s="95"/>
      <c r="H8" s="96"/>
      <c r="I8" s="97"/>
    </row>
    <row r="9" spans="1:9" ht="13.5" x14ac:dyDescent="0.25">
      <c r="A9" s="91" t="s">
        <v>272</v>
      </c>
      <c r="B9" s="92" t="s">
        <v>271</v>
      </c>
      <c r="C9" s="91" t="s">
        <v>272</v>
      </c>
      <c r="D9" s="91" t="s">
        <v>261</v>
      </c>
      <c r="E9" s="93">
        <v>32164</v>
      </c>
      <c r="F9" s="94">
        <f t="shared" ref="F9:F25" ca="1" si="1">DATEDIF(E9,TODAY(),"Y")</f>
        <v>28</v>
      </c>
      <c r="G9" s="95" t="s">
        <v>262</v>
      </c>
      <c r="H9" s="96">
        <v>30445</v>
      </c>
      <c r="I9" s="97">
        <v>1</v>
      </c>
    </row>
    <row r="10" spans="1:9" ht="13.5" x14ac:dyDescent="0.25">
      <c r="A10" s="91" t="s">
        <v>272</v>
      </c>
      <c r="B10" s="92" t="s">
        <v>280</v>
      </c>
      <c r="C10" s="91" t="s">
        <v>272</v>
      </c>
      <c r="D10" s="91" t="s">
        <v>252</v>
      </c>
      <c r="E10" s="93">
        <v>32172</v>
      </c>
      <c r="F10" s="94">
        <f t="shared" ca="1" si="1"/>
        <v>28</v>
      </c>
      <c r="G10" s="95" t="s">
        <v>257</v>
      </c>
      <c r="H10" s="96">
        <v>29070</v>
      </c>
      <c r="I10" s="97">
        <v>3</v>
      </c>
    </row>
    <row r="11" spans="1:9" ht="13.5" x14ac:dyDescent="0.25">
      <c r="A11" s="91" t="s">
        <v>272</v>
      </c>
      <c r="B11" s="92" t="s">
        <v>285</v>
      </c>
      <c r="C11" s="91" t="s">
        <v>272</v>
      </c>
      <c r="D11" s="91" t="s">
        <v>256</v>
      </c>
      <c r="E11" s="93">
        <v>32521</v>
      </c>
      <c r="F11" s="94">
        <f t="shared" ca="1" si="1"/>
        <v>27</v>
      </c>
      <c r="G11" s="95" t="s">
        <v>257</v>
      </c>
      <c r="H11" s="96">
        <v>79760</v>
      </c>
      <c r="I11" s="97">
        <v>5</v>
      </c>
    </row>
    <row r="12" spans="1:9" ht="13.5" x14ac:dyDescent="0.25">
      <c r="A12" s="91" t="s">
        <v>272</v>
      </c>
      <c r="B12" s="92" t="s">
        <v>271</v>
      </c>
      <c r="C12" s="91" t="s">
        <v>272</v>
      </c>
      <c r="D12" s="91" t="s">
        <v>247</v>
      </c>
      <c r="E12" s="93">
        <v>32766</v>
      </c>
      <c r="F12" s="94">
        <f t="shared" ca="1" si="1"/>
        <v>27</v>
      </c>
      <c r="G12" s="95"/>
      <c r="H12" s="96">
        <v>66580</v>
      </c>
      <c r="I12" s="97">
        <v>5</v>
      </c>
    </row>
    <row r="13" spans="1:9" ht="13.5" x14ac:dyDescent="0.25">
      <c r="A13" s="91" t="s">
        <v>272</v>
      </c>
      <c r="B13" s="92" t="s">
        <v>285</v>
      </c>
      <c r="C13" s="91" t="s">
        <v>272</v>
      </c>
      <c r="D13" s="91" t="s">
        <v>256</v>
      </c>
      <c r="E13" s="93">
        <v>34154</v>
      </c>
      <c r="F13" s="94">
        <f t="shared" ca="1" si="1"/>
        <v>23</v>
      </c>
      <c r="G13" s="95" t="s">
        <v>257</v>
      </c>
      <c r="H13" s="96">
        <v>60830</v>
      </c>
      <c r="I13" s="97">
        <v>1</v>
      </c>
    </row>
    <row r="14" spans="1:9" ht="13.5" x14ac:dyDescent="0.25">
      <c r="A14" s="91" t="s">
        <v>272</v>
      </c>
      <c r="B14" s="92" t="s">
        <v>280</v>
      </c>
      <c r="C14" s="91" t="s">
        <v>272</v>
      </c>
      <c r="D14" s="91" t="s">
        <v>256</v>
      </c>
      <c r="E14" s="93">
        <v>34432</v>
      </c>
      <c r="F14" s="94">
        <f t="shared" ca="1" si="1"/>
        <v>22</v>
      </c>
      <c r="G14" s="95" t="s">
        <v>283</v>
      </c>
      <c r="H14" s="96">
        <v>85300</v>
      </c>
      <c r="I14" s="97">
        <v>2</v>
      </c>
    </row>
    <row r="15" spans="1:9" ht="13.5" x14ac:dyDescent="0.25">
      <c r="A15" s="91" t="s">
        <v>272</v>
      </c>
      <c r="B15" s="92" t="s">
        <v>251</v>
      </c>
      <c r="C15" s="91" t="s">
        <v>272</v>
      </c>
      <c r="D15" s="91" t="s">
        <v>256</v>
      </c>
      <c r="E15" s="93">
        <v>34833</v>
      </c>
      <c r="F15" s="94">
        <f t="shared" ca="1" si="1"/>
        <v>21</v>
      </c>
      <c r="G15" s="95" t="s">
        <v>283</v>
      </c>
      <c r="H15" s="96">
        <v>72090</v>
      </c>
      <c r="I15" s="97">
        <v>5</v>
      </c>
    </row>
    <row r="16" spans="1:9" ht="13.5" x14ac:dyDescent="0.25">
      <c r="A16" s="91" t="s">
        <v>272</v>
      </c>
      <c r="B16" s="92" t="s">
        <v>251</v>
      </c>
      <c r="C16" s="91" t="s">
        <v>272</v>
      </c>
      <c r="D16" s="91" t="s">
        <v>261</v>
      </c>
      <c r="E16" s="93">
        <v>34907</v>
      </c>
      <c r="F16" s="94">
        <f t="shared" ca="1" si="1"/>
        <v>21</v>
      </c>
      <c r="G16" s="95" t="s">
        <v>257</v>
      </c>
      <c r="H16" s="96">
        <v>15240</v>
      </c>
      <c r="I16" s="97">
        <v>1</v>
      </c>
    </row>
    <row r="17" spans="1:9" ht="13.5" x14ac:dyDescent="0.25">
      <c r="A17" s="91" t="s">
        <v>272</v>
      </c>
      <c r="B17" s="92" t="s">
        <v>285</v>
      </c>
      <c r="C17" s="91" t="s">
        <v>272</v>
      </c>
      <c r="D17" s="91" t="s">
        <v>256</v>
      </c>
      <c r="E17" s="93">
        <v>34950</v>
      </c>
      <c r="F17" s="94">
        <f t="shared" ca="1" si="1"/>
        <v>21</v>
      </c>
      <c r="G17" s="95" t="s">
        <v>257</v>
      </c>
      <c r="H17" s="96">
        <v>75150</v>
      </c>
      <c r="I17" s="97">
        <v>1</v>
      </c>
    </row>
    <row r="18" spans="1:9" ht="13.5" x14ac:dyDescent="0.25">
      <c r="A18" s="91" t="s">
        <v>272</v>
      </c>
      <c r="B18" s="92" t="s">
        <v>266</v>
      </c>
      <c r="C18" s="91" t="s">
        <v>272</v>
      </c>
      <c r="D18" s="91" t="s">
        <v>256</v>
      </c>
      <c r="E18" s="93">
        <v>35454</v>
      </c>
      <c r="F18" s="94">
        <f t="shared" ca="1" si="1"/>
        <v>19</v>
      </c>
      <c r="G18" s="95" t="s">
        <v>276</v>
      </c>
      <c r="H18" s="96">
        <v>74840</v>
      </c>
      <c r="I18" s="97">
        <v>4</v>
      </c>
    </row>
    <row r="19" spans="1:9" ht="13.5" x14ac:dyDescent="0.25">
      <c r="A19" s="91" t="s">
        <v>272</v>
      </c>
      <c r="B19" s="92" t="s">
        <v>245</v>
      </c>
      <c r="C19" s="91" t="s">
        <v>272</v>
      </c>
      <c r="D19" s="91" t="s">
        <v>247</v>
      </c>
      <c r="E19" s="93">
        <v>35467</v>
      </c>
      <c r="F19" s="94">
        <f t="shared" ca="1" si="1"/>
        <v>19</v>
      </c>
      <c r="G19" s="95"/>
      <c r="H19" s="96">
        <v>76690</v>
      </c>
      <c r="I19" s="97">
        <v>3</v>
      </c>
    </row>
    <row r="20" spans="1:9" ht="13.5" x14ac:dyDescent="0.25">
      <c r="A20" s="91" t="s">
        <v>272</v>
      </c>
      <c r="B20" s="92" t="s">
        <v>251</v>
      </c>
      <c r="C20" s="91" t="s">
        <v>272</v>
      </c>
      <c r="D20" s="91" t="s">
        <v>256</v>
      </c>
      <c r="E20" s="93">
        <v>36094</v>
      </c>
      <c r="F20" s="94">
        <f t="shared" ca="1" si="1"/>
        <v>18</v>
      </c>
      <c r="G20" s="95" t="s">
        <v>257</v>
      </c>
      <c r="H20" s="96">
        <v>30780</v>
      </c>
      <c r="I20" s="97">
        <v>4</v>
      </c>
    </row>
    <row r="21" spans="1:9" ht="13.5" x14ac:dyDescent="0.25">
      <c r="A21" s="91" t="s">
        <v>272</v>
      </c>
      <c r="B21" s="92" t="s">
        <v>271</v>
      </c>
      <c r="C21" s="91" t="s">
        <v>272</v>
      </c>
      <c r="D21" s="91" t="s">
        <v>261</v>
      </c>
      <c r="E21" s="93">
        <v>36472</v>
      </c>
      <c r="F21" s="94">
        <f t="shared" ca="1" si="1"/>
        <v>17</v>
      </c>
      <c r="G21" s="95" t="s">
        <v>276</v>
      </c>
      <c r="H21" s="96">
        <v>17735</v>
      </c>
      <c r="I21" s="97">
        <v>3</v>
      </c>
    </row>
    <row r="22" spans="1:9" ht="13.5" x14ac:dyDescent="0.25">
      <c r="A22" s="91" t="s">
        <v>272</v>
      </c>
      <c r="B22" s="92" t="s">
        <v>271</v>
      </c>
      <c r="C22" s="91" t="s">
        <v>272</v>
      </c>
      <c r="D22" s="91" t="s">
        <v>256</v>
      </c>
      <c r="E22" s="93">
        <v>36832</v>
      </c>
      <c r="F22" s="94">
        <f t="shared" ca="1" si="1"/>
        <v>16</v>
      </c>
      <c r="G22" s="95" t="s">
        <v>257</v>
      </c>
      <c r="H22" s="96">
        <v>49350</v>
      </c>
      <c r="I22" s="97">
        <v>4</v>
      </c>
    </row>
    <row r="23" spans="1:9" ht="13.5" x14ac:dyDescent="0.25">
      <c r="A23" s="91" t="s">
        <v>272</v>
      </c>
      <c r="B23" s="92" t="s">
        <v>266</v>
      </c>
      <c r="C23" s="91" t="s">
        <v>272</v>
      </c>
      <c r="D23" s="91" t="s">
        <v>256</v>
      </c>
      <c r="E23" s="93">
        <v>37759</v>
      </c>
      <c r="F23" s="94">
        <f t="shared" ca="1" si="1"/>
        <v>13</v>
      </c>
      <c r="G23" s="95" t="s">
        <v>267</v>
      </c>
      <c r="H23" s="96">
        <v>37670</v>
      </c>
      <c r="I23" s="97">
        <v>3</v>
      </c>
    </row>
    <row r="24" spans="1:9" ht="13.5" x14ac:dyDescent="0.25">
      <c r="A24" s="91" t="s">
        <v>272</v>
      </c>
      <c r="B24" s="92" t="s">
        <v>245</v>
      </c>
      <c r="C24" s="91" t="s">
        <v>272</v>
      </c>
      <c r="D24" s="91" t="s">
        <v>256</v>
      </c>
      <c r="E24" s="93">
        <v>38394</v>
      </c>
      <c r="F24" s="94">
        <f t="shared" ca="1" si="1"/>
        <v>11</v>
      </c>
      <c r="G24" s="95" t="s">
        <v>276</v>
      </c>
      <c r="H24" s="96">
        <v>58290</v>
      </c>
      <c r="I24" s="97">
        <v>5</v>
      </c>
    </row>
    <row r="25" spans="1:9" ht="13.5" x14ac:dyDescent="0.25">
      <c r="A25" s="91" t="s">
        <v>272</v>
      </c>
      <c r="B25" s="92" t="s">
        <v>245</v>
      </c>
      <c r="C25" s="91" t="s">
        <v>272</v>
      </c>
      <c r="D25" s="91" t="s">
        <v>252</v>
      </c>
      <c r="E25" s="93">
        <v>38816</v>
      </c>
      <c r="F25" s="94">
        <f t="shared" ca="1" si="1"/>
        <v>10</v>
      </c>
      <c r="G25" s="95"/>
      <c r="H25" s="96">
        <v>10636</v>
      </c>
      <c r="I25" s="97">
        <v>4</v>
      </c>
    </row>
    <row r="26" spans="1:9" ht="13.5" x14ac:dyDescent="0.25">
      <c r="A26" s="98" t="s">
        <v>1037</v>
      </c>
      <c r="B26" s="92"/>
      <c r="C26" s="98"/>
      <c r="D26" s="91"/>
      <c r="E26" s="93"/>
      <c r="F26" s="94"/>
      <c r="G26" s="95"/>
      <c r="H26" s="96"/>
      <c r="I26" s="97"/>
    </row>
    <row r="27" spans="1:9" ht="13.5" x14ac:dyDescent="0.25">
      <c r="A27" s="91" t="s">
        <v>296</v>
      </c>
      <c r="B27" s="92" t="s">
        <v>245</v>
      </c>
      <c r="C27" s="91" t="s">
        <v>296</v>
      </c>
      <c r="D27" s="91" t="s">
        <v>256</v>
      </c>
      <c r="E27" s="93">
        <v>32241</v>
      </c>
      <c r="F27" s="94">
        <f t="shared" ref="F27:F36" ca="1" si="2">DATEDIF(E27,TODAY(),"Y")</f>
        <v>28</v>
      </c>
      <c r="G27" s="95" t="s">
        <v>262</v>
      </c>
      <c r="H27" s="96">
        <v>41350</v>
      </c>
      <c r="I27" s="97">
        <v>2</v>
      </c>
    </row>
    <row r="28" spans="1:9" ht="13.5" x14ac:dyDescent="0.25">
      <c r="A28" s="91" t="s">
        <v>296</v>
      </c>
      <c r="B28" s="92" t="s">
        <v>285</v>
      </c>
      <c r="C28" s="91" t="s">
        <v>296</v>
      </c>
      <c r="D28" s="91" t="s">
        <v>256</v>
      </c>
      <c r="E28" s="93">
        <v>32991</v>
      </c>
      <c r="F28" s="94">
        <f t="shared" ca="1" si="2"/>
        <v>26</v>
      </c>
      <c r="G28" s="95" t="s">
        <v>257</v>
      </c>
      <c r="H28" s="96">
        <v>73440</v>
      </c>
      <c r="I28" s="97">
        <v>1</v>
      </c>
    </row>
    <row r="29" spans="1:9" ht="13.5" x14ac:dyDescent="0.25">
      <c r="A29" s="91" t="s">
        <v>296</v>
      </c>
      <c r="B29" s="92" t="s">
        <v>271</v>
      </c>
      <c r="C29" s="91" t="s">
        <v>296</v>
      </c>
      <c r="D29" s="91" t="s">
        <v>256</v>
      </c>
      <c r="E29" s="93">
        <v>34149</v>
      </c>
      <c r="F29" s="94">
        <f t="shared" ca="1" si="2"/>
        <v>23</v>
      </c>
      <c r="G29" s="95" t="s">
        <v>283</v>
      </c>
      <c r="H29" s="96">
        <v>49360</v>
      </c>
      <c r="I29" s="97">
        <v>2</v>
      </c>
    </row>
    <row r="30" spans="1:9" ht="13.5" x14ac:dyDescent="0.25">
      <c r="A30" s="91" t="s">
        <v>296</v>
      </c>
      <c r="B30" s="92" t="s">
        <v>245</v>
      </c>
      <c r="C30" s="91" t="s">
        <v>296</v>
      </c>
      <c r="D30" s="91" t="s">
        <v>261</v>
      </c>
      <c r="E30" s="93">
        <v>34254</v>
      </c>
      <c r="F30" s="94">
        <f t="shared" ca="1" si="2"/>
        <v>23</v>
      </c>
      <c r="G30" s="95" t="s">
        <v>257</v>
      </c>
      <c r="H30" s="96">
        <v>11025</v>
      </c>
      <c r="I30" s="97">
        <v>1</v>
      </c>
    </row>
    <row r="31" spans="1:9" ht="13.5" x14ac:dyDescent="0.25">
      <c r="A31" s="91" t="s">
        <v>296</v>
      </c>
      <c r="B31" s="92" t="s">
        <v>271</v>
      </c>
      <c r="C31" s="91" t="s">
        <v>296</v>
      </c>
      <c r="D31" s="91" t="s">
        <v>252</v>
      </c>
      <c r="E31" s="93">
        <v>34364</v>
      </c>
      <c r="F31" s="94">
        <f t="shared" ca="1" si="2"/>
        <v>22</v>
      </c>
      <c r="G31" s="95"/>
      <c r="H31" s="96">
        <v>20028</v>
      </c>
      <c r="I31" s="97">
        <v>4</v>
      </c>
    </row>
    <row r="32" spans="1:9" ht="13.5" x14ac:dyDescent="0.25">
      <c r="A32" s="91" t="s">
        <v>296</v>
      </c>
      <c r="B32" s="92" t="s">
        <v>285</v>
      </c>
      <c r="C32" s="91" t="s">
        <v>296</v>
      </c>
      <c r="D32" s="91" t="s">
        <v>256</v>
      </c>
      <c r="E32" s="93">
        <v>34904</v>
      </c>
      <c r="F32" s="94">
        <f t="shared" ca="1" si="2"/>
        <v>21</v>
      </c>
      <c r="G32" s="95" t="s">
        <v>276</v>
      </c>
      <c r="H32" s="96">
        <v>47850</v>
      </c>
      <c r="I32" s="97">
        <v>1</v>
      </c>
    </row>
    <row r="33" spans="1:9" ht="13.5" x14ac:dyDescent="0.25">
      <c r="A33" s="91" t="s">
        <v>296</v>
      </c>
      <c r="B33" s="92" t="s">
        <v>245</v>
      </c>
      <c r="C33" s="91" t="s">
        <v>296</v>
      </c>
      <c r="D33" s="91" t="s">
        <v>256</v>
      </c>
      <c r="E33" s="93">
        <v>35309</v>
      </c>
      <c r="F33" s="94">
        <f t="shared" ca="1" si="2"/>
        <v>20</v>
      </c>
      <c r="G33" s="95" t="s">
        <v>267</v>
      </c>
      <c r="H33" s="96">
        <v>56440</v>
      </c>
      <c r="I33" s="97">
        <v>1</v>
      </c>
    </row>
    <row r="34" spans="1:9" ht="13.5" x14ac:dyDescent="0.25">
      <c r="A34" s="91" t="s">
        <v>296</v>
      </c>
      <c r="B34" s="92" t="s">
        <v>245</v>
      </c>
      <c r="C34" s="91" t="s">
        <v>296</v>
      </c>
      <c r="D34" s="91" t="s">
        <v>256</v>
      </c>
      <c r="E34" s="93">
        <v>35583</v>
      </c>
      <c r="F34" s="94">
        <f t="shared" ca="1" si="2"/>
        <v>19</v>
      </c>
      <c r="G34" s="95" t="s">
        <v>283</v>
      </c>
      <c r="H34" s="96">
        <v>33640</v>
      </c>
      <c r="I34" s="97">
        <v>3</v>
      </c>
    </row>
    <row r="35" spans="1:9" ht="13.5" x14ac:dyDescent="0.25">
      <c r="A35" s="91" t="s">
        <v>296</v>
      </c>
      <c r="B35" s="92" t="s">
        <v>251</v>
      </c>
      <c r="C35" s="91" t="s">
        <v>296</v>
      </c>
      <c r="D35" s="91" t="s">
        <v>256</v>
      </c>
      <c r="E35" s="93">
        <v>36741</v>
      </c>
      <c r="F35" s="94">
        <f t="shared" ca="1" si="2"/>
        <v>16</v>
      </c>
      <c r="G35" s="95" t="s">
        <v>257</v>
      </c>
      <c r="H35" s="96">
        <v>30350</v>
      </c>
      <c r="I35" s="97">
        <v>1</v>
      </c>
    </row>
    <row r="36" spans="1:9" ht="13.5" x14ac:dyDescent="0.25">
      <c r="A36" s="91" t="s">
        <v>296</v>
      </c>
      <c r="B36" s="92" t="s">
        <v>245</v>
      </c>
      <c r="C36" s="91" t="s">
        <v>296</v>
      </c>
      <c r="D36" s="91" t="s">
        <v>256</v>
      </c>
      <c r="E36" s="93">
        <v>38796</v>
      </c>
      <c r="F36" s="94">
        <f t="shared" ca="1" si="2"/>
        <v>10</v>
      </c>
      <c r="G36" s="95" t="s">
        <v>262</v>
      </c>
      <c r="H36" s="96">
        <v>51180</v>
      </c>
      <c r="I36" s="97">
        <v>3</v>
      </c>
    </row>
    <row r="37" spans="1:9" ht="13.5" x14ac:dyDescent="0.25">
      <c r="A37" s="98" t="s">
        <v>1038</v>
      </c>
      <c r="B37" s="92"/>
      <c r="C37" s="98"/>
      <c r="D37" s="91"/>
      <c r="E37" s="93"/>
      <c r="F37" s="94"/>
      <c r="G37" s="95"/>
      <c r="H37" s="96"/>
      <c r="I37" s="97"/>
    </row>
    <row r="38" spans="1:9" ht="13.5" x14ac:dyDescent="0.25">
      <c r="A38" s="91" t="s">
        <v>307</v>
      </c>
      <c r="B38" s="92" t="s">
        <v>285</v>
      </c>
      <c r="C38" s="91" t="s">
        <v>307</v>
      </c>
      <c r="D38" s="91" t="s">
        <v>256</v>
      </c>
      <c r="E38" s="93">
        <v>32403</v>
      </c>
      <c r="F38" s="94">
        <f ca="1">DATEDIF(E38,TODAY(),"Y")</f>
        <v>28</v>
      </c>
      <c r="G38" s="95" t="s">
        <v>257</v>
      </c>
      <c r="H38" s="96">
        <v>46220</v>
      </c>
      <c r="I38" s="97">
        <v>3</v>
      </c>
    </row>
    <row r="39" spans="1:9" ht="13.5" x14ac:dyDescent="0.25">
      <c r="A39" s="91" t="s">
        <v>307</v>
      </c>
      <c r="B39" s="92" t="s">
        <v>280</v>
      </c>
      <c r="C39" s="91" t="s">
        <v>307</v>
      </c>
      <c r="D39" s="91" t="s">
        <v>247</v>
      </c>
      <c r="E39" s="93">
        <v>34085</v>
      </c>
      <c r="F39" s="94">
        <f ca="1">DATEDIF(E39,TODAY(),"Y")</f>
        <v>23</v>
      </c>
      <c r="G39" s="95"/>
      <c r="H39" s="96">
        <v>58130</v>
      </c>
      <c r="I39" s="97">
        <v>2</v>
      </c>
    </row>
    <row r="40" spans="1:9" ht="13.5" x14ac:dyDescent="0.25">
      <c r="A40" s="91" t="s">
        <v>307</v>
      </c>
      <c r="B40" s="92" t="s">
        <v>285</v>
      </c>
      <c r="C40" s="91" t="s">
        <v>307</v>
      </c>
      <c r="D40" s="91" t="s">
        <v>261</v>
      </c>
      <c r="E40" s="93">
        <v>38107</v>
      </c>
      <c r="F40" s="94">
        <f ca="1">DATEDIF(E40,TODAY(),"Y")</f>
        <v>12</v>
      </c>
      <c r="G40" s="95" t="s">
        <v>267</v>
      </c>
      <c r="H40" s="96">
        <v>46095</v>
      </c>
      <c r="I40" s="97">
        <v>3</v>
      </c>
    </row>
    <row r="41" spans="1:9" ht="13.5" x14ac:dyDescent="0.25">
      <c r="A41" s="91" t="s">
        <v>307</v>
      </c>
      <c r="B41" s="92" t="s">
        <v>271</v>
      </c>
      <c r="C41" s="91" t="s">
        <v>307</v>
      </c>
      <c r="D41" s="91" t="s">
        <v>261</v>
      </c>
      <c r="E41" s="93">
        <v>38842</v>
      </c>
      <c r="F41" s="94">
        <f ca="1">DATEDIF(E41,TODAY(),"Y")</f>
        <v>10</v>
      </c>
      <c r="G41" s="95" t="s">
        <v>283</v>
      </c>
      <c r="H41" s="96">
        <v>28680</v>
      </c>
      <c r="I41" s="97">
        <v>1</v>
      </c>
    </row>
    <row r="42" spans="1:9" ht="13.5" x14ac:dyDescent="0.25">
      <c r="A42" s="98" t="s">
        <v>1039</v>
      </c>
      <c r="B42" s="92"/>
      <c r="C42" s="98"/>
      <c r="D42" s="91"/>
      <c r="E42" s="93"/>
      <c r="F42" s="94"/>
      <c r="G42" s="95"/>
      <c r="H42" s="96"/>
      <c r="I42" s="97"/>
    </row>
    <row r="43" spans="1:9" ht="13.5" x14ac:dyDescent="0.25">
      <c r="A43" s="91" t="s">
        <v>312</v>
      </c>
      <c r="B43" s="92" t="s">
        <v>271</v>
      </c>
      <c r="C43" s="91" t="s">
        <v>312</v>
      </c>
      <c r="D43" s="91" t="s">
        <v>247</v>
      </c>
      <c r="E43" s="93">
        <v>31918</v>
      </c>
      <c r="F43" s="94">
        <f t="shared" ref="F43:F102" ca="1" si="3">DATEDIF(E43,TODAY(),"Y")</f>
        <v>29</v>
      </c>
      <c r="G43" s="95"/>
      <c r="H43" s="96">
        <v>42940</v>
      </c>
      <c r="I43" s="97">
        <v>1</v>
      </c>
    </row>
    <row r="44" spans="1:9" ht="13.5" x14ac:dyDescent="0.25">
      <c r="A44" s="91" t="s">
        <v>312</v>
      </c>
      <c r="B44" s="92" t="s">
        <v>245</v>
      </c>
      <c r="C44" s="91" t="s">
        <v>312</v>
      </c>
      <c r="D44" s="91" t="s">
        <v>256</v>
      </c>
      <c r="E44" s="93">
        <v>32038</v>
      </c>
      <c r="F44" s="94">
        <f t="shared" ca="1" si="3"/>
        <v>29</v>
      </c>
      <c r="G44" s="95" t="s">
        <v>276</v>
      </c>
      <c r="H44" s="96">
        <v>49810</v>
      </c>
      <c r="I44" s="97">
        <v>2</v>
      </c>
    </row>
    <row r="45" spans="1:9" ht="13.5" x14ac:dyDescent="0.25">
      <c r="A45" s="91" t="s">
        <v>312</v>
      </c>
      <c r="B45" s="92" t="s">
        <v>285</v>
      </c>
      <c r="C45" s="91" t="s">
        <v>312</v>
      </c>
      <c r="D45" s="91" t="s">
        <v>261</v>
      </c>
      <c r="E45" s="93">
        <v>32162</v>
      </c>
      <c r="F45" s="94">
        <f t="shared" ca="1" si="3"/>
        <v>28</v>
      </c>
      <c r="G45" s="95" t="s">
        <v>262</v>
      </c>
      <c r="H45" s="96">
        <v>13800</v>
      </c>
      <c r="I45" s="97">
        <v>3</v>
      </c>
    </row>
    <row r="46" spans="1:9" ht="13.5" x14ac:dyDescent="0.25">
      <c r="A46" s="91" t="s">
        <v>312</v>
      </c>
      <c r="B46" s="92" t="s">
        <v>271</v>
      </c>
      <c r="C46" s="91" t="s">
        <v>312</v>
      </c>
      <c r="D46" s="91" t="s">
        <v>256</v>
      </c>
      <c r="E46" s="93">
        <v>32217</v>
      </c>
      <c r="F46" s="94">
        <f t="shared" ca="1" si="3"/>
        <v>28</v>
      </c>
      <c r="G46" s="95" t="s">
        <v>283</v>
      </c>
      <c r="H46" s="96">
        <v>85920</v>
      </c>
      <c r="I46" s="97">
        <v>4</v>
      </c>
    </row>
    <row r="47" spans="1:9" ht="13.5" x14ac:dyDescent="0.25">
      <c r="A47" s="91" t="s">
        <v>312</v>
      </c>
      <c r="B47" s="92" t="s">
        <v>271</v>
      </c>
      <c r="C47" s="91" t="s">
        <v>312</v>
      </c>
      <c r="D47" s="91" t="s">
        <v>256</v>
      </c>
      <c r="E47" s="93">
        <v>32265</v>
      </c>
      <c r="F47" s="94">
        <f t="shared" ca="1" si="3"/>
        <v>28</v>
      </c>
      <c r="G47" s="95" t="s">
        <v>262</v>
      </c>
      <c r="H47" s="96">
        <v>61400</v>
      </c>
      <c r="I47" s="97">
        <v>5</v>
      </c>
    </row>
    <row r="48" spans="1:9" ht="13.5" x14ac:dyDescent="0.25">
      <c r="A48" s="91" t="s">
        <v>312</v>
      </c>
      <c r="B48" s="92" t="s">
        <v>285</v>
      </c>
      <c r="C48" s="91" t="s">
        <v>312</v>
      </c>
      <c r="D48" s="91" t="s">
        <v>252</v>
      </c>
      <c r="E48" s="93">
        <v>32310</v>
      </c>
      <c r="F48" s="94">
        <f t="shared" ca="1" si="3"/>
        <v>28</v>
      </c>
      <c r="G48" s="95"/>
      <c r="H48" s="96">
        <v>14568</v>
      </c>
      <c r="I48" s="97">
        <v>3</v>
      </c>
    </row>
    <row r="49" spans="1:9" ht="13.5" x14ac:dyDescent="0.25">
      <c r="A49" s="91" t="s">
        <v>312</v>
      </c>
      <c r="B49" s="92" t="s">
        <v>251</v>
      </c>
      <c r="C49" s="91" t="s">
        <v>312</v>
      </c>
      <c r="D49" s="91" t="s">
        <v>247</v>
      </c>
      <c r="E49" s="93">
        <v>32368</v>
      </c>
      <c r="F49" s="94">
        <f t="shared" ca="1" si="3"/>
        <v>28</v>
      </c>
      <c r="G49" s="95"/>
      <c r="H49" s="96">
        <v>64460</v>
      </c>
      <c r="I49" s="97">
        <v>1</v>
      </c>
    </row>
    <row r="50" spans="1:9" ht="13.5" x14ac:dyDescent="0.25">
      <c r="A50" s="91" t="s">
        <v>312</v>
      </c>
      <c r="B50" s="92" t="s">
        <v>285</v>
      </c>
      <c r="C50" s="91" t="s">
        <v>312</v>
      </c>
      <c r="D50" s="91" t="s">
        <v>256</v>
      </c>
      <c r="E50" s="93">
        <v>32436</v>
      </c>
      <c r="F50" s="94">
        <f t="shared" ca="1" si="3"/>
        <v>28</v>
      </c>
      <c r="G50" s="95" t="s">
        <v>262</v>
      </c>
      <c r="H50" s="96">
        <v>31830</v>
      </c>
      <c r="I50" s="97">
        <v>3</v>
      </c>
    </row>
    <row r="51" spans="1:9" ht="13.5" x14ac:dyDescent="0.25">
      <c r="A51" s="91" t="s">
        <v>312</v>
      </c>
      <c r="B51" s="92" t="s">
        <v>245</v>
      </c>
      <c r="C51" s="91" t="s">
        <v>312</v>
      </c>
      <c r="D51" s="91" t="s">
        <v>256</v>
      </c>
      <c r="E51" s="93">
        <v>32476</v>
      </c>
      <c r="F51" s="94">
        <f t="shared" ca="1" si="3"/>
        <v>27</v>
      </c>
      <c r="G51" s="95" t="s">
        <v>257</v>
      </c>
      <c r="H51" s="96">
        <v>71150</v>
      </c>
      <c r="I51" s="97">
        <v>2</v>
      </c>
    </row>
    <row r="52" spans="1:9" ht="13.5" x14ac:dyDescent="0.25">
      <c r="A52" s="91" t="s">
        <v>312</v>
      </c>
      <c r="B52" s="92" t="s">
        <v>285</v>
      </c>
      <c r="C52" s="91" t="s">
        <v>312</v>
      </c>
      <c r="D52" s="91" t="s">
        <v>256</v>
      </c>
      <c r="E52" s="93">
        <v>32585</v>
      </c>
      <c r="F52" s="94">
        <f t="shared" ca="1" si="3"/>
        <v>27</v>
      </c>
      <c r="G52" s="95" t="s">
        <v>283</v>
      </c>
      <c r="H52" s="96">
        <v>71670</v>
      </c>
      <c r="I52" s="97">
        <v>4</v>
      </c>
    </row>
    <row r="53" spans="1:9" ht="13.5" x14ac:dyDescent="0.25">
      <c r="A53" s="91" t="s">
        <v>312</v>
      </c>
      <c r="B53" s="92" t="s">
        <v>245</v>
      </c>
      <c r="C53" s="91" t="s">
        <v>312</v>
      </c>
      <c r="D53" s="91" t="s">
        <v>247</v>
      </c>
      <c r="E53" s="93">
        <v>32671</v>
      </c>
      <c r="F53" s="94">
        <f t="shared" ca="1" si="3"/>
        <v>27</v>
      </c>
      <c r="G53" s="95"/>
      <c r="H53" s="96">
        <v>83020</v>
      </c>
      <c r="I53" s="97">
        <v>4</v>
      </c>
    </row>
    <row r="54" spans="1:9" ht="13.5" x14ac:dyDescent="0.25">
      <c r="A54" s="91" t="s">
        <v>312</v>
      </c>
      <c r="B54" s="92" t="s">
        <v>271</v>
      </c>
      <c r="C54" s="91" t="s">
        <v>312</v>
      </c>
      <c r="D54" s="91" t="s">
        <v>261</v>
      </c>
      <c r="E54" s="93">
        <v>32856</v>
      </c>
      <c r="F54" s="94">
        <f t="shared" ca="1" si="3"/>
        <v>26</v>
      </c>
      <c r="G54" s="95" t="s">
        <v>257</v>
      </c>
      <c r="H54" s="96">
        <v>26890</v>
      </c>
      <c r="I54" s="97">
        <v>3</v>
      </c>
    </row>
    <row r="55" spans="1:9" ht="13.5" x14ac:dyDescent="0.25">
      <c r="A55" s="91" t="s">
        <v>312</v>
      </c>
      <c r="B55" s="92" t="s">
        <v>285</v>
      </c>
      <c r="C55" s="91" t="s">
        <v>312</v>
      </c>
      <c r="D55" s="91" t="s">
        <v>256</v>
      </c>
      <c r="E55" s="93">
        <v>33164</v>
      </c>
      <c r="F55" s="94">
        <f t="shared" ca="1" si="3"/>
        <v>26</v>
      </c>
      <c r="G55" s="95" t="s">
        <v>262</v>
      </c>
      <c r="H55" s="96">
        <v>74670</v>
      </c>
      <c r="I55" s="97">
        <v>5</v>
      </c>
    </row>
    <row r="56" spans="1:9" ht="13.5" x14ac:dyDescent="0.25">
      <c r="A56" s="91" t="s">
        <v>312</v>
      </c>
      <c r="B56" s="92" t="s">
        <v>285</v>
      </c>
      <c r="C56" s="91" t="s">
        <v>312</v>
      </c>
      <c r="D56" s="91" t="s">
        <v>261</v>
      </c>
      <c r="E56" s="93">
        <v>33238</v>
      </c>
      <c r="F56" s="94">
        <f t="shared" ca="1" si="3"/>
        <v>25</v>
      </c>
      <c r="G56" s="95" t="s">
        <v>276</v>
      </c>
      <c r="H56" s="96">
        <v>38920</v>
      </c>
      <c r="I56" s="97">
        <v>4</v>
      </c>
    </row>
    <row r="57" spans="1:9" ht="13.5" x14ac:dyDescent="0.25">
      <c r="A57" s="91" t="s">
        <v>312</v>
      </c>
      <c r="B57" s="92" t="s">
        <v>285</v>
      </c>
      <c r="C57" s="91" t="s">
        <v>312</v>
      </c>
      <c r="D57" s="91" t="s">
        <v>247</v>
      </c>
      <c r="E57" s="93">
        <v>33341</v>
      </c>
      <c r="F57" s="94">
        <f t="shared" ca="1" si="3"/>
        <v>25</v>
      </c>
      <c r="G57" s="95"/>
      <c r="H57" s="96">
        <v>46670</v>
      </c>
      <c r="I57" s="97">
        <v>3</v>
      </c>
    </row>
    <row r="58" spans="1:9" ht="13.5" x14ac:dyDescent="0.25">
      <c r="A58" s="91" t="s">
        <v>312</v>
      </c>
      <c r="B58" s="92" t="s">
        <v>271</v>
      </c>
      <c r="C58" s="91" t="s">
        <v>312</v>
      </c>
      <c r="D58" s="91" t="s">
        <v>256</v>
      </c>
      <c r="E58" s="93">
        <v>33522</v>
      </c>
      <c r="F58" s="94">
        <f t="shared" ca="1" si="3"/>
        <v>25</v>
      </c>
      <c r="G58" s="95" t="s">
        <v>257</v>
      </c>
      <c r="H58" s="96">
        <v>31910</v>
      </c>
      <c r="I58" s="97">
        <v>5</v>
      </c>
    </row>
    <row r="59" spans="1:9" ht="13.5" x14ac:dyDescent="0.25">
      <c r="A59" s="91" t="s">
        <v>312</v>
      </c>
      <c r="B59" s="92" t="s">
        <v>266</v>
      </c>
      <c r="C59" s="91" t="s">
        <v>312</v>
      </c>
      <c r="D59" s="91" t="s">
        <v>256</v>
      </c>
      <c r="E59" s="93">
        <v>33686</v>
      </c>
      <c r="F59" s="94">
        <f t="shared" ca="1" si="3"/>
        <v>24</v>
      </c>
      <c r="G59" s="95" t="s">
        <v>257</v>
      </c>
      <c r="H59" s="96">
        <v>67890</v>
      </c>
      <c r="I59" s="97">
        <v>5</v>
      </c>
    </row>
    <row r="60" spans="1:9" ht="13.5" x14ac:dyDescent="0.25">
      <c r="A60" s="91" t="s">
        <v>312</v>
      </c>
      <c r="B60" s="92" t="s">
        <v>271</v>
      </c>
      <c r="C60" s="91" t="s">
        <v>312</v>
      </c>
      <c r="D60" s="91" t="s">
        <v>256</v>
      </c>
      <c r="E60" s="93">
        <v>33776</v>
      </c>
      <c r="F60" s="94">
        <f t="shared" ca="1" si="3"/>
        <v>24</v>
      </c>
      <c r="G60" s="95" t="s">
        <v>267</v>
      </c>
      <c r="H60" s="96">
        <v>77350</v>
      </c>
      <c r="I60" s="97">
        <v>5</v>
      </c>
    </row>
    <row r="61" spans="1:9" ht="13.5" x14ac:dyDescent="0.25">
      <c r="A61" s="91" t="s">
        <v>312</v>
      </c>
      <c r="B61" s="92" t="s">
        <v>280</v>
      </c>
      <c r="C61" s="91" t="s">
        <v>312</v>
      </c>
      <c r="D61" s="91" t="s">
        <v>247</v>
      </c>
      <c r="E61" s="93">
        <v>33809</v>
      </c>
      <c r="F61" s="94">
        <f t="shared" ca="1" si="3"/>
        <v>24</v>
      </c>
      <c r="G61" s="95"/>
      <c r="H61" s="96">
        <v>64390</v>
      </c>
      <c r="I61" s="97">
        <v>2</v>
      </c>
    </row>
    <row r="62" spans="1:9" ht="13.5" x14ac:dyDescent="0.25">
      <c r="A62" s="91" t="s">
        <v>312</v>
      </c>
      <c r="B62" s="92" t="s">
        <v>245</v>
      </c>
      <c r="C62" s="91" t="s">
        <v>312</v>
      </c>
      <c r="D62" s="91" t="s">
        <v>247</v>
      </c>
      <c r="E62" s="93">
        <v>33850</v>
      </c>
      <c r="F62" s="94">
        <f t="shared" ca="1" si="3"/>
        <v>24</v>
      </c>
      <c r="G62" s="95"/>
      <c r="H62" s="96">
        <v>50550</v>
      </c>
      <c r="I62" s="97">
        <v>2</v>
      </c>
    </row>
    <row r="63" spans="1:9" ht="13.5" x14ac:dyDescent="0.25">
      <c r="A63" s="91" t="s">
        <v>312</v>
      </c>
      <c r="B63" s="92" t="s">
        <v>251</v>
      </c>
      <c r="C63" s="91" t="s">
        <v>312</v>
      </c>
      <c r="D63" s="91" t="s">
        <v>256</v>
      </c>
      <c r="E63" s="93">
        <v>33887</v>
      </c>
      <c r="F63" s="94">
        <f t="shared" ca="1" si="3"/>
        <v>24</v>
      </c>
      <c r="G63" s="95" t="s">
        <v>276</v>
      </c>
      <c r="H63" s="96">
        <v>82120</v>
      </c>
      <c r="I63" s="97">
        <v>5</v>
      </c>
    </row>
    <row r="64" spans="1:9" ht="13.5" x14ac:dyDescent="0.25">
      <c r="A64" s="91" t="s">
        <v>312</v>
      </c>
      <c r="B64" s="92" t="s">
        <v>285</v>
      </c>
      <c r="C64" s="91" t="s">
        <v>312</v>
      </c>
      <c r="D64" s="91" t="s">
        <v>256</v>
      </c>
      <c r="E64" s="93">
        <v>33897</v>
      </c>
      <c r="F64" s="94">
        <f t="shared" ca="1" si="3"/>
        <v>24</v>
      </c>
      <c r="G64" s="95" t="s">
        <v>267</v>
      </c>
      <c r="H64" s="96">
        <v>77580</v>
      </c>
      <c r="I64" s="97">
        <v>3</v>
      </c>
    </row>
    <row r="65" spans="1:9" ht="13.5" x14ac:dyDescent="0.25">
      <c r="A65" s="91" t="s">
        <v>312</v>
      </c>
      <c r="B65" s="92" t="s">
        <v>285</v>
      </c>
      <c r="C65" s="91" t="s">
        <v>312</v>
      </c>
      <c r="D65" s="91" t="s">
        <v>247</v>
      </c>
      <c r="E65" s="93">
        <v>33945</v>
      </c>
      <c r="F65" s="94">
        <f t="shared" ca="1" si="3"/>
        <v>23</v>
      </c>
      <c r="G65" s="95"/>
      <c r="H65" s="96">
        <v>89310</v>
      </c>
      <c r="I65" s="97">
        <v>5</v>
      </c>
    </row>
    <row r="66" spans="1:9" ht="13.5" x14ac:dyDescent="0.25">
      <c r="A66" s="91" t="s">
        <v>312</v>
      </c>
      <c r="B66" s="92" t="s">
        <v>271</v>
      </c>
      <c r="C66" s="91" t="s">
        <v>312</v>
      </c>
      <c r="D66" s="91" t="s">
        <v>247</v>
      </c>
      <c r="E66" s="93">
        <v>34195</v>
      </c>
      <c r="F66" s="94">
        <f t="shared" ca="1" si="3"/>
        <v>23</v>
      </c>
      <c r="G66" s="95"/>
      <c r="H66" s="96">
        <v>74740</v>
      </c>
      <c r="I66" s="97">
        <v>5</v>
      </c>
    </row>
    <row r="67" spans="1:9" ht="13.5" x14ac:dyDescent="0.25">
      <c r="A67" s="91" t="s">
        <v>312</v>
      </c>
      <c r="B67" s="92" t="s">
        <v>245</v>
      </c>
      <c r="C67" s="91" t="s">
        <v>312</v>
      </c>
      <c r="D67" s="91" t="s">
        <v>261</v>
      </c>
      <c r="E67" s="93">
        <v>34207</v>
      </c>
      <c r="F67" s="94">
        <f t="shared" ca="1" si="3"/>
        <v>23</v>
      </c>
      <c r="G67" s="95" t="s">
        <v>267</v>
      </c>
      <c r="H67" s="96">
        <v>48415</v>
      </c>
      <c r="I67" s="97">
        <v>4</v>
      </c>
    </row>
    <row r="68" spans="1:9" ht="13.5" x14ac:dyDescent="0.25">
      <c r="A68" s="91" t="s">
        <v>312</v>
      </c>
      <c r="B68" s="92" t="s">
        <v>285</v>
      </c>
      <c r="C68" s="91" t="s">
        <v>312</v>
      </c>
      <c r="D68" s="91" t="s">
        <v>247</v>
      </c>
      <c r="E68" s="93">
        <v>34259</v>
      </c>
      <c r="F68" s="94">
        <f t="shared" ca="1" si="3"/>
        <v>23</v>
      </c>
      <c r="G68" s="95"/>
      <c r="H68" s="96">
        <v>84200</v>
      </c>
      <c r="I68" s="97">
        <v>2</v>
      </c>
    </row>
    <row r="69" spans="1:9" ht="13.5" x14ac:dyDescent="0.25">
      <c r="A69" s="91" t="s">
        <v>312</v>
      </c>
      <c r="B69" s="92" t="s">
        <v>245</v>
      </c>
      <c r="C69" s="91" t="s">
        <v>312</v>
      </c>
      <c r="D69" s="91" t="s">
        <v>256</v>
      </c>
      <c r="E69" s="93">
        <v>34357</v>
      </c>
      <c r="F69" s="94">
        <f t="shared" ca="1" si="3"/>
        <v>22</v>
      </c>
      <c r="G69" s="95" t="s">
        <v>257</v>
      </c>
      <c r="H69" s="96">
        <v>40920</v>
      </c>
      <c r="I69" s="97">
        <v>4</v>
      </c>
    </row>
    <row r="70" spans="1:9" ht="13.5" x14ac:dyDescent="0.25">
      <c r="A70" s="91" t="s">
        <v>312</v>
      </c>
      <c r="B70" s="92" t="s">
        <v>285</v>
      </c>
      <c r="C70" s="91" t="s">
        <v>312</v>
      </c>
      <c r="D70" s="91" t="s">
        <v>256</v>
      </c>
      <c r="E70" s="93">
        <v>34519</v>
      </c>
      <c r="F70" s="94">
        <f t="shared" ca="1" si="3"/>
        <v>22</v>
      </c>
      <c r="G70" s="95" t="s">
        <v>257</v>
      </c>
      <c r="H70" s="96">
        <v>61030</v>
      </c>
      <c r="I70" s="97">
        <v>3</v>
      </c>
    </row>
    <row r="71" spans="1:9" ht="13.5" x14ac:dyDescent="0.25">
      <c r="A71" s="91" t="s">
        <v>312</v>
      </c>
      <c r="B71" s="92" t="s">
        <v>271</v>
      </c>
      <c r="C71" s="91" t="s">
        <v>312</v>
      </c>
      <c r="D71" s="91" t="s">
        <v>261</v>
      </c>
      <c r="E71" s="93">
        <v>34532</v>
      </c>
      <c r="F71" s="94">
        <f t="shared" ca="1" si="3"/>
        <v>22</v>
      </c>
      <c r="G71" s="95" t="s">
        <v>276</v>
      </c>
      <c r="H71" s="96">
        <v>23380</v>
      </c>
      <c r="I71" s="97">
        <v>4</v>
      </c>
    </row>
    <row r="72" spans="1:9" ht="13.5" x14ac:dyDescent="0.25">
      <c r="A72" s="91" t="s">
        <v>312</v>
      </c>
      <c r="B72" s="92" t="s">
        <v>271</v>
      </c>
      <c r="C72" s="91" t="s">
        <v>312</v>
      </c>
      <c r="D72" s="91" t="s">
        <v>247</v>
      </c>
      <c r="E72" s="93">
        <v>34538</v>
      </c>
      <c r="F72" s="94">
        <f t="shared" ca="1" si="3"/>
        <v>22</v>
      </c>
      <c r="G72" s="95"/>
      <c r="H72" s="96">
        <v>85480</v>
      </c>
      <c r="I72" s="97">
        <v>5</v>
      </c>
    </row>
    <row r="73" spans="1:9" ht="13.5" x14ac:dyDescent="0.25">
      <c r="A73" s="91" t="s">
        <v>312</v>
      </c>
      <c r="B73" s="92" t="s">
        <v>271</v>
      </c>
      <c r="C73" s="91" t="s">
        <v>312</v>
      </c>
      <c r="D73" s="91" t="s">
        <v>247</v>
      </c>
      <c r="E73" s="93">
        <v>34538</v>
      </c>
      <c r="F73" s="94">
        <f t="shared" ca="1" si="3"/>
        <v>22</v>
      </c>
      <c r="G73" s="95"/>
      <c r="H73" s="96">
        <v>85480</v>
      </c>
      <c r="I73" s="97">
        <v>5</v>
      </c>
    </row>
    <row r="74" spans="1:9" ht="13.5" x14ac:dyDescent="0.25">
      <c r="A74" s="91" t="s">
        <v>312</v>
      </c>
      <c r="B74" s="92" t="s">
        <v>271</v>
      </c>
      <c r="C74" s="91" t="s">
        <v>312</v>
      </c>
      <c r="D74" s="91" t="s">
        <v>247</v>
      </c>
      <c r="E74" s="93">
        <v>34592</v>
      </c>
      <c r="F74" s="94">
        <f t="shared" ca="1" si="3"/>
        <v>22</v>
      </c>
      <c r="G74" s="95"/>
      <c r="H74" s="96">
        <v>63340</v>
      </c>
      <c r="I74" s="97">
        <v>3</v>
      </c>
    </row>
    <row r="75" spans="1:9" ht="13.5" x14ac:dyDescent="0.25">
      <c r="A75" s="91" t="s">
        <v>312</v>
      </c>
      <c r="B75" s="92" t="s">
        <v>266</v>
      </c>
      <c r="C75" s="91" t="s">
        <v>312</v>
      </c>
      <c r="D75" s="91" t="s">
        <v>247</v>
      </c>
      <c r="E75" s="93">
        <v>34630</v>
      </c>
      <c r="F75" s="94">
        <f t="shared" ca="1" si="3"/>
        <v>22</v>
      </c>
      <c r="G75" s="95"/>
      <c r="H75" s="96">
        <v>88000</v>
      </c>
      <c r="I75" s="97">
        <v>5</v>
      </c>
    </row>
    <row r="76" spans="1:9" ht="13.5" x14ac:dyDescent="0.25">
      <c r="A76" s="91" t="s">
        <v>312</v>
      </c>
      <c r="B76" s="92" t="s">
        <v>245</v>
      </c>
      <c r="C76" s="91" t="s">
        <v>312</v>
      </c>
      <c r="D76" s="91" t="s">
        <v>256</v>
      </c>
      <c r="E76" s="93">
        <v>34655</v>
      </c>
      <c r="F76" s="94">
        <f t="shared" ca="1" si="3"/>
        <v>21</v>
      </c>
      <c r="G76" s="95" t="s">
        <v>267</v>
      </c>
      <c r="H76" s="96">
        <v>34780</v>
      </c>
      <c r="I76" s="97">
        <v>4</v>
      </c>
    </row>
    <row r="77" spans="1:9" ht="13.5" x14ac:dyDescent="0.25">
      <c r="A77" s="91" t="s">
        <v>312</v>
      </c>
      <c r="B77" s="92" t="s">
        <v>280</v>
      </c>
      <c r="C77" s="91" t="s">
        <v>312</v>
      </c>
      <c r="D77" s="91" t="s">
        <v>247</v>
      </c>
      <c r="E77" s="93">
        <v>34728</v>
      </c>
      <c r="F77" s="94">
        <f t="shared" ca="1" si="3"/>
        <v>21</v>
      </c>
      <c r="G77" s="95"/>
      <c r="H77" s="96">
        <v>30340</v>
      </c>
      <c r="I77" s="97">
        <v>3</v>
      </c>
    </row>
    <row r="78" spans="1:9" ht="13.5" x14ac:dyDescent="0.25">
      <c r="A78" s="91" t="s">
        <v>312</v>
      </c>
      <c r="B78" s="92" t="s">
        <v>245</v>
      </c>
      <c r="C78" s="91" t="s">
        <v>312</v>
      </c>
      <c r="D78" s="91" t="s">
        <v>252</v>
      </c>
      <c r="E78" s="93">
        <v>34749</v>
      </c>
      <c r="F78" s="94">
        <f t="shared" ca="1" si="3"/>
        <v>21</v>
      </c>
      <c r="G78" s="95"/>
      <c r="H78" s="96">
        <v>18500</v>
      </c>
      <c r="I78" s="97">
        <v>5</v>
      </c>
    </row>
    <row r="79" spans="1:9" ht="13.5" x14ac:dyDescent="0.25">
      <c r="A79" s="91" t="s">
        <v>312</v>
      </c>
      <c r="B79" s="92" t="s">
        <v>245</v>
      </c>
      <c r="C79" s="91" t="s">
        <v>312</v>
      </c>
      <c r="D79" s="91" t="s">
        <v>247</v>
      </c>
      <c r="E79" s="93">
        <v>34777</v>
      </c>
      <c r="F79" s="94">
        <f t="shared" ca="1" si="3"/>
        <v>21</v>
      </c>
      <c r="G79" s="95"/>
      <c r="H79" s="96">
        <v>76930</v>
      </c>
      <c r="I79" s="97">
        <v>1</v>
      </c>
    </row>
    <row r="80" spans="1:9" ht="13.5" x14ac:dyDescent="0.25">
      <c r="A80" s="91" t="s">
        <v>312</v>
      </c>
      <c r="B80" s="92" t="s">
        <v>245</v>
      </c>
      <c r="C80" s="91" t="s">
        <v>312</v>
      </c>
      <c r="D80" s="91" t="s">
        <v>247</v>
      </c>
      <c r="E80" s="93">
        <v>35160</v>
      </c>
      <c r="F80" s="94">
        <f t="shared" ca="1" si="3"/>
        <v>20</v>
      </c>
      <c r="G80" s="95"/>
      <c r="H80" s="96">
        <v>23560</v>
      </c>
      <c r="I80" s="97">
        <v>3</v>
      </c>
    </row>
    <row r="81" spans="1:9" ht="13.5" x14ac:dyDescent="0.25">
      <c r="A81" s="91" t="s">
        <v>312</v>
      </c>
      <c r="B81" s="92" t="s">
        <v>245</v>
      </c>
      <c r="C81" s="91" t="s">
        <v>312</v>
      </c>
      <c r="D81" s="91" t="s">
        <v>252</v>
      </c>
      <c r="E81" s="93">
        <v>35177</v>
      </c>
      <c r="F81" s="94">
        <f t="shared" ca="1" si="3"/>
        <v>20</v>
      </c>
      <c r="G81" s="95"/>
      <c r="H81" s="96">
        <v>33056</v>
      </c>
      <c r="I81" s="97">
        <v>5</v>
      </c>
    </row>
    <row r="82" spans="1:9" ht="13.5" x14ac:dyDescent="0.25">
      <c r="A82" s="91" t="s">
        <v>312</v>
      </c>
      <c r="B82" s="92" t="s">
        <v>285</v>
      </c>
      <c r="C82" s="91" t="s">
        <v>312</v>
      </c>
      <c r="D82" s="91" t="s">
        <v>256</v>
      </c>
      <c r="E82" s="93">
        <v>35196</v>
      </c>
      <c r="F82" s="94">
        <f t="shared" ca="1" si="3"/>
        <v>20</v>
      </c>
      <c r="G82" s="95" t="s">
        <v>283</v>
      </c>
      <c r="H82" s="96">
        <v>32100</v>
      </c>
      <c r="I82" s="97">
        <v>1</v>
      </c>
    </row>
    <row r="83" spans="1:9" ht="13.5" x14ac:dyDescent="0.25">
      <c r="A83" s="91" t="s">
        <v>312</v>
      </c>
      <c r="B83" s="92" t="s">
        <v>285</v>
      </c>
      <c r="C83" s="91" t="s">
        <v>312</v>
      </c>
      <c r="D83" s="91" t="s">
        <v>252</v>
      </c>
      <c r="E83" s="93">
        <v>35292</v>
      </c>
      <c r="F83" s="94">
        <f t="shared" ca="1" si="3"/>
        <v>20</v>
      </c>
      <c r="G83" s="95"/>
      <c r="H83" s="96">
        <v>30080</v>
      </c>
      <c r="I83" s="97">
        <v>3</v>
      </c>
    </row>
    <row r="84" spans="1:9" ht="13.5" x14ac:dyDescent="0.25">
      <c r="A84" s="91" t="s">
        <v>312</v>
      </c>
      <c r="B84" s="92" t="s">
        <v>266</v>
      </c>
      <c r="C84" s="91" t="s">
        <v>312</v>
      </c>
      <c r="D84" s="91" t="s">
        <v>261</v>
      </c>
      <c r="E84" s="93">
        <v>35586</v>
      </c>
      <c r="F84" s="94">
        <f t="shared" ca="1" si="3"/>
        <v>19</v>
      </c>
      <c r="G84" s="95" t="s">
        <v>257</v>
      </c>
      <c r="H84" s="96">
        <v>35280</v>
      </c>
      <c r="I84" s="97">
        <v>3</v>
      </c>
    </row>
    <row r="85" spans="1:9" ht="13.5" x14ac:dyDescent="0.25">
      <c r="A85" s="91" t="s">
        <v>312</v>
      </c>
      <c r="B85" s="92" t="s">
        <v>285</v>
      </c>
      <c r="C85" s="91" t="s">
        <v>312</v>
      </c>
      <c r="D85" s="91" t="s">
        <v>256</v>
      </c>
      <c r="E85" s="93">
        <v>35698</v>
      </c>
      <c r="F85" s="94">
        <f t="shared" ca="1" si="3"/>
        <v>19</v>
      </c>
      <c r="G85" s="95" t="s">
        <v>257</v>
      </c>
      <c r="H85" s="96">
        <v>27180</v>
      </c>
      <c r="I85" s="97">
        <v>4</v>
      </c>
    </row>
    <row r="86" spans="1:9" ht="13.5" x14ac:dyDescent="0.25">
      <c r="A86" s="91" t="s">
        <v>312</v>
      </c>
      <c r="B86" s="92" t="s">
        <v>285</v>
      </c>
      <c r="C86" s="91" t="s">
        <v>312</v>
      </c>
      <c r="D86" s="91" t="s">
        <v>256</v>
      </c>
      <c r="E86" s="93">
        <v>35708</v>
      </c>
      <c r="F86" s="94">
        <f t="shared" ca="1" si="3"/>
        <v>19</v>
      </c>
      <c r="G86" s="95" t="s">
        <v>283</v>
      </c>
      <c r="H86" s="96">
        <v>28650</v>
      </c>
      <c r="I86" s="97">
        <v>4</v>
      </c>
    </row>
    <row r="87" spans="1:9" ht="13.5" x14ac:dyDescent="0.25">
      <c r="A87" s="91" t="s">
        <v>312</v>
      </c>
      <c r="B87" s="92" t="s">
        <v>271</v>
      </c>
      <c r="C87" s="91" t="s">
        <v>312</v>
      </c>
      <c r="D87" s="91" t="s">
        <v>256</v>
      </c>
      <c r="E87" s="93">
        <v>35866</v>
      </c>
      <c r="F87" s="94">
        <f t="shared" ca="1" si="3"/>
        <v>18</v>
      </c>
      <c r="G87" s="95" t="s">
        <v>267</v>
      </c>
      <c r="H87" s="96">
        <v>62790</v>
      </c>
      <c r="I87" s="97">
        <v>2</v>
      </c>
    </row>
    <row r="88" spans="1:9" ht="13.5" x14ac:dyDescent="0.25">
      <c r="A88" s="91" t="s">
        <v>312</v>
      </c>
      <c r="B88" s="92" t="s">
        <v>271</v>
      </c>
      <c r="C88" s="91" t="s">
        <v>312</v>
      </c>
      <c r="D88" s="91" t="s">
        <v>256</v>
      </c>
      <c r="E88" s="93">
        <v>35931</v>
      </c>
      <c r="F88" s="94">
        <f t="shared" ca="1" si="3"/>
        <v>18</v>
      </c>
      <c r="G88" s="95" t="s">
        <v>257</v>
      </c>
      <c r="H88" s="96">
        <v>71950</v>
      </c>
      <c r="I88" s="97">
        <v>5</v>
      </c>
    </row>
    <row r="89" spans="1:9" ht="13.5" x14ac:dyDescent="0.25">
      <c r="A89" s="91" t="s">
        <v>312</v>
      </c>
      <c r="B89" s="92" t="s">
        <v>285</v>
      </c>
      <c r="C89" s="91" t="s">
        <v>312</v>
      </c>
      <c r="D89" s="91" t="s">
        <v>256</v>
      </c>
      <c r="E89" s="93">
        <v>36038</v>
      </c>
      <c r="F89" s="94">
        <f t="shared" ca="1" si="3"/>
        <v>18</v>
      </c>
      <c r="G89" s="95" t="s">
        <v>262</v>
      </c>
      <c r="H89" s="96">
        <v>85880</v>
      </c>
      <c r="I89" s="97">
        <v>3</v>
      </c>
    </row>
    <row r="90" spans="1:9" ht="13.5" x14ac:dyDescent="0.25">
      <c r="A90" s="91" t="s">
        <v>312</v>
      </c>
      <c r="B90" s="92" t="s">
        <v>285</v>
      </c>
      <c r="C90" s="91" t="s">
        <v>312</v>
      </c>
      <c r="D90" s="91" t="s">
        <v>256</v>
      </c>
      <c r="E90" s="93">
        <v>36475</v>
      </c>
      <c r="F90" s="94">
        <f t="shared" ca="1" si="3"/>
        <v>17</v>
      </c>
      <c r="G90" s="95" t="s">
        <v>283</v>
      </c>
      <c r="H90" s="96">
        <v>87280</v>
      </c>
      <c r="I90" s="97">
        <v>4</v>
      </c>
    </row>
    <row r="91" spans="1:9" ht="13.5" x14ac:dyDescent="0.25">
      <c r="A91" s="91" t="s">
        <v>312</v>
      </c>
      <c r="B91" s="92" t="s">
        <v>245</v>
      </c>
      <c r="C91" s="91" t="s">
        <v>312</v>
      </c>
      <c r="D91" s="91" t="s">
        <v>256</v>
      </c>
      <c r="E91" s="93">
        <v>36650</v>
      </c>
      <c r="F91" s="94">
        <f t="shared" ca="1" si="3"/>
        <v>16</v>
      </c>
      <c r="G91" s="95" t="s">
        <v>257</v>
      </c>
      <c r="H91" s="96">
        <v>66890</v>
      </c>
      <c r="I91" s="97">
        <v>5</v>
      </c>
    </row>
    <row r="92" spans="1:9" ht="13.5" x14ac:dyDescent="0.25">
      <c r="A92" s="91" t="s">
        <v>312</v>
      </c>
      <c r="B92" s="92" t="s">
        <v>245</v>
      </c>
      <c r="C92" s="91" t="s">
        <v>312</v>
      </c>
      <c r="D92" s="91" t="s">
        <v>247</v>
      </c>
      <c r="E92" s="93">
        <v>37660</v>
      </c>
      <c r="F92" s="94">
        <f t="shared" ca="1" si="3"/>
        <v>13</v>
      </c>
      <c r="G92" s="95"/>
      <c r="H92" s="96">
        <v>83070</v>
      </c>
      <c r="I92" s="97">
        <v>3</v>
      </c>
    </row>
    <row r="93" spans="1:9" ht="13.5" x14ac:dyDescent="0.25">
      <c r="A93" s="91" t="s">
        <v>312</v>
      </c>
      <c r="B93" s="92" t="s">
        <v>245</v>
      </c>
      <c r="C93" s="91" t="s">
        <v>312</v>
      </c>
      <c r="D93" s="91" t="s">
        <v>247</v>
      </c>
      <c r="E93" s="93">
        <v>37730</v>
      </c>
      <c r="F93" s="94">
        <f t="shared" ca="1" si="3"/>
        <v>13</v>
      </c>
      <c r="G93" s="95"/>
      <c r="H93" s="96">
        <v>62150</v>
      </c>
      <c r="I93" s="97">
        <v>4</v>
      </c>
    </row>
    <row r="94" spans="1:9" ht="13.5" x14ac:dyDescent="0.25">
      <c r="A94" s="91" t="s">
        <v>312</v>
      </c>
      <c r="B94" s="92" t="s">
        <v>266</v>
      </c>
      <c r="C94" s="91" t="s">
        <v>312</v>
      </c>
      <c r="D94" s="91" t="s">
        <v>261</v>
      </c>
      <c r="E94" s="93">
        <v>38492</v>
      </c>
      <c r="F94" s="94">
        <f t="shared" ca="1" si="3"/>
        <v>11</v>
      </c>
      <c r="G94" s="95" t="s">
        <v>276</v>
      </c>
      <c r="H94" s="96">
        <v>22535</v>
      </c>
      <c r="I94" s="97">
        <v>3</v>
      </c>
    </row>
    <row r="95" spans="1:9" ht="13.5" x14ac:dyDescent="0.25">
      <c r="A95" s="91" t="s">
        <v>312</v>
      </c>
      <c r="B95" s="92" t="s">
        <v>280</v>
      </c>
      <c r="C95" s="91" t="s">
        <v>312</v>
      </c>
      <c r="D95" s="91" t="s">
        <v>247</v>
      </c>
      <c r="E95" s="93">
        <v>38612</v>
      </c>
      <c r="F95" s="94">
        <f t="shared" ca="1" si="3"/>
        <v>11</v>
      </c>
      <c r="G95" s="95"/>
      <c r="H95" s="96">
        <v>25790</v>
      </c>
      <c r="I95" s="97">
        <v>3</v>
      </c>
    </row>
    <row r="96" spans="1:9" ht="13.5" x14ac:dyDescent="0.25">
      <c r="A96" s="91" t="s">
        <v>312</v>
      </c>
      <c r="B96" s="92" t="s">
        <v>285</v>
      </c>
      <c r="C96" s="91" t="s">
        <v>312</v>
      </c>
      <c r="D96" s="91" t="s">
        <v>247</v>
      </c>
      <c r="E96" s="93">
        <v>38649</v>
      </c>
      <c r="F96" s="94">
        <f t="shared" ca="1" si="3"/>
        <v>11</v>
      </c>
      <c r="G96" s="95"/>
      <c r="H96" s="96">
        <v>79460</v>
      </c>
      <c r="I96" s="97">
        <v>5</v>
      </c>
    </row>
    <row r="97" spans="1:9" ht="13.5" x14ac:dyDescent="0.25">
      <c r="A97" s="91" t="s">
        <v>312</v>
      </c>
      <c r="B97" s="92" t="s">
        <v>271</v>
      </c>
      <c r="C97" s="91" t="s">
        <v>312</v>
      </c>
      <c r="D97" s="91" t="s">
        <v>256</v>
      </c>
      <c r="E97" s="93">
        <v>38775</v>
      </c>
      <c r="F97" s="94">
        <f t="shared" ca="1" si="3"/>
        <v>10</v>
      </c>
      <c r="G97" s="95" t="s">
        <v>257</v>
      </c>
      <c r="H97" s="96">
        <v>41490</v>
      </c>
      <c r="I97" s="97">
        <v>5</v>
      </c>
    </row>
    <row r="98" spans="1:9" ht="13.5" x14ac:dyDescent="0.25">
      <c r="A98" s="91" t="s">
        <v>312</v>
      </c>
      <c r="B98" s="92" t="s">
        <v>271</v>
      </c>
      <c r="C98" s="91" t="s">
        <v>312</v>
      </c>
      <c r="D98" s="91" t="s">
        <v>256</v>
      </c>
      <c r="E98" s="93">
        <v>38964</v>
      </c>
      <c r="F98" s="94">
        <f t="shared" ca="1" si="3"/>
        <v>10</v>
      </c>
      <c r="G98" s="95" t="s">
        <v>262</v>
      </c>
      <c r="H98" s="96">
        <v>38730</v>
      </c>
      <c r="I98" s="97">
        <v>1</v>
      </c>
    </row>
    <row r="99" spans="1:9" ht="13.5" x14ac:dyDescent="0.25">
      <c r="A99" s="91" t="s">
        <v>312</v>
      </c>
      <c r="B99" s="92" t="s">
        <v>245</v>
      </c>
      <c r="C99" s="91" t="s">
        <v>312</v>
      </c>
      <c r="D99" s="91" t="s">
        <v>256</v>
      </c>
      <c r="E99" s="99">
        <v>38982</v>
      </c>
      <c r="F99" s="94">
        <f t="shared" ca="1" si="3"/>
        <v>10</v>
      </c>
      <c r="G99" s="95" t="s">
        <v>257</v>
      </c>
      <c r="H99" s="96">
        <v>23280</v>
      </c>
      <c r="I99" s="97">
        <v>1</v>
      </c>
    </row>
    <row r="100" spans="1:9" ht="13.5" x14ac:dyDescent="0.25">
      <c r="A100" s="91" t="s">
        <v>312</v>
      </c>
      <c r="B100" s="92" t="s">
        <v>271</v>
      </c>
      <c r="C100" s="91" t="s">
        <v>312</v>
      </c>
      <c r="D100" s="91" t="s">
        <v>256</v>
      </c>
      <c r="E100" s="93">
        <v>39191</v>
      </c>
      <c r="F100" s="94">
        <f t="shared" ca="1" si="3"/>
        <v>9</v>
      </c>
      <c r="G100" s="95" t="s">
        <v>267</v>
      </c>
      <c r="H100" s="96">
        <v>77820</v>
      </c>
      <c r="I100" s="97">
        <v>3</v>
      </c>
    </row>
    <row r="101" spans="1:9" ht="13.5" x14ac:dyDescent="0.25">
      <c r="A101" s="91" t="s">
        <v>312</v>
      </c>
      <c r="B101" s="92" t="s">
        <v>251</v>
      </c>
      <c r="C101" s="91" t="s">
        <v>312</v>
      </c>
      <c r="D101" s="91" t="s">
        <v>256</v>
      </c>
      <c r="E101" s="93">
        <v>39265</v>
      </c>
      <c r="F101" s="94">
        <f t="shared" ca="1" si="3"/>
        <v>9</v>
      </c>
      <c r="G101" s="95" t="s">
        <v>276</v>
      </c>
      <c r="H101" s="96">
        <v>74710</v>
      </c>
      <c r="I101" s="97">
        <v>2</v>
      </c>
    </row>
    <row r="102" spans="1:9" ht="13.5" x14ac:dyDescent="0.25">
      <c r="A102" s="91" t="s">
        <v>312</v>
      </c>
      <c r="B102" s="92" t="s">
        <v>285</v>
      </c>
      <c r="C102" s="91" t="s">
        <v>312</v>
      </c>
      <c r="D102" s="91" t="s">
        <v>256</v>
      </c>
      <c r="E102" s="93">
        <v>39286</v>
      </c>
      <c r="F102" s="94">
        <f t="shared" ca="1" si="3"/>
        <v>9</v>
      </c>
      <c r="G102" s="95" t="s">
        <v>267</v>
      </c>
      <c r="H102" s="96">
        <v>68910</v>
      </c>
      <c r="I102" s="97">
        <v>5</v>
      </c>
    </row>
    <row r="103" spans="1:9" ht="13.5" x14ac:dyDescent="0.25">
      <c r="A103" s="98" t="s">
        <v>1040</v>
      </c>
      <c r="B103" s="92"/>
      <c r="C103" s="98"/>
      <c r="D103" s="91"/>
      <c r="E103" s="93"/>
      <c r="F103" s="94"/>
      <c r="G103" s="95"/>
      <c r="H103" s="96"/>
      <c r="I103" s="97"/>
    </row>
    <row r="104" spans="1:9" ht="13.5" x14ac:dyDescent="0.25">
      <c r="A104" s="91" t="s">
        <v>372</v>
      </c>
      <c r="B104" s="92" t="s">
        <v>285</v>
      </c>
      <c r="C104" s="91" t="s">
        <v>372</v>
      </c>
      <c r="D104" s="91" t="s">
        <v>256</v>
      </c>
      <c r="E104" s="93">
        <v>36573</v>
      </c>
      <c r="F104" s="94">
        <f t="shared" ref="F104:F111" ca="1" si="4">DATEDIF(E104,TODAY(),"Y")</f>
        <v>16</v>
      </c>
      <c r="G104" s="95" t="s">
        <v>257</v>
      </c>
      <c r="H104" s="96">
        <v>86530</v>
      </c>
      <c r="I104" s="97">
        <v>1</v>
      </c>
    </row>
    <row r="105" spans="1:9" ht="13.5" x14ac:dyDescent="0.25">
      <c r="A105" s="91" t="s">
        <v>372</v>
      </c>
      <c r="B105" s="92" t="s">
        <v>271</v>
      </c>
      <c r="C105" s="91" t="s">
        <v>372</v>
      </c>
      <c r="D105" s="91" t="s">
        <v>256</v>
      </c>
      <c r="E105" s="93">
        <v>37087</v>
      </c>
      <c r="F105" s="94">
        <f t="shared" ca="1" si="4"/>
        <v>15</v>
      </c>
      <c r="G105" s="95" t="s">
        <v>257</v>
      </c>
      <c r="H105" s="96">
        <v>36630</v>
      </c>
      <c r="I105" s="97">
        <v>4</v>
      </c>
    </row>
    <row r="106" spans="1:9" ht="13.5" x14ac:dyDescent="0.25">
      <c r="A106" s="91" t="s">
        <v>372</v>
      </c>
      <c r="B106" s="92" t="s">
        <v>285</v>
      </c>
      <c r="C106" s="91" t="s">
        <v>372</v>
      </c>
      <c r="D106" s="91" t="s">
        <v>247</v>
      </c>
      <c r="E106" s="93">
        <v>37445</v>
      </c>
      <c r="F106" s="94">
        <f t="shared" ca="1" si="4"/>
        <v>14</v>
      </c>
      <c r="G106" s="95"/>
      <c r="H106" s="96">
        <v>78860</v>
      </c>
      <c r="I106" s="97">
        <v>2</v>
      </c>
    </row>
    <row r="107" spans="1:9" ht="13.5" x14ac:dyDescent="0.25">
      <c r="A107" s="91" t="s">
        <v>372</v>
      </c>
      <c r="B107" s="92" t="s">
        <v>280</v>
      </c>
      <c r="C107" s="91" t="s">
        <v>372</v>
      </c>
      <c r="D107" s="91" t="s">
        <v>256</v>
      </c>
      <c r="E107" s="93">
        <v>38078</v>
      </c>
      <c r="F107" s="94">
        <f t="shared" ca="1" si="4"/>
        <v>12</v>
      </c>
      <c r="G107" s="95" t="s">
        <v>257</v>
      </c>
      <c r="H107" s="96">
        <v>71120</v>
      </c>
      <c r="I107" s="97">
        <v>4</v>
      </c>
    </row>
    <row r="108" spans="1:9" ht="13.5" x14ac:dyDescent="0.25">
      <c r="A108" s="91" t="s">
        <v>372</v>
      </c>
      <c r="B108" s="92" t="s">
        <v>271</v>
      </c>
      <c r="C108" s="91" t="s">
        <v>372</v>
      </c>
      <c r="D108" s="91" t="s">
        <v>247</v>
      </c>
      <c r="E108" s="93">
        <v>38219</v>
      </c>
      <c r="F108" s="94">
        <f t="shared" ca="1" si="4"/>
        <v>12</v>
      </c>
      <c r="G108" s="95"/>
      <c r="H108" s="96">
        <v>35620</v>
      </c>
      <c r="I108" s="97">
        <v>4</v>
      </c>
    </row>
    <row r="109" spans="1:9" ht="13.5" x14ac:dyDescent="0.25">
      <c r="A109" s="91" t="s">
        <v>372</v>
      </c>
      <c r="B109" s="92" t="s">
        <v>285</v>
      </c>
      <c r="C109" s="91" t="s">
        <v>372</v>
      </c>
      <c r="D109" s="91" t="s">
        <v>256</v>
      </c>
      <c r="E109" s="93">
        <v>38613</v>
      </c>
      <c r="F109" s="94">
        <f t="shared" ca="1" si="4"/>
        <v>11</v>
      </c>
      <c r="G109" s="95" t="s">
        <v>257</v>
      </c>
      <c r="H109" s="96">
        <v>76440</v>
      </c>
      <c r="I109" s="97">
        <v>3</v>
      </c>
    </row>
    <row r="110" spans="1:9" ht="13.5" x14ac:dyDescent="0.25">
      <c r="A110" s="91" t="s">
        <v>372</v>
      </c>
      <c r="B110" s="92" t="s">
        <v>285</v>
      </c>
      <c r="C110" s="91" t="s">
        <v>372</v>
      </c>
      <c r="D110" s="91" t="s">
        <v>247</v>
      </c>
      <c r="E110" s="99">
        <v>38943</v>
      </c>
      <c r="F110" s="94">
        <f t="shared" ca="1" si="4"/>
        <v>10</v>
      </c>
      <c r="G110" s="95"/>
      <c r="H110" s="96">
        <v>59350</v>
      </c>
      <c r="I110" s="97">
        <v>5</v>
      </c>
    </row>
    <row r="111" spans="1:9" ht="13.5" x14ac:dyDescent="0.25">
      <c r="A111" s="91" t="s">
        <v>372</v>
      </c>
      <c r="B111" s="92" t="s">
        <v>251</v>
      </c>
      <c r="C111" s="91" t="s">
        <v>372</v>
      </c>
      <c r="D111" s="91" t="s">
        <v>261</v>
      </c>
      <c r="E111" s="99">
        <v>39195</v>
      </c>
      <c r="F111" s="94">
        <f t="shared" ca="1" si="4"/>
        <v>9</v>
      </c>
      <c r="G111" s="95" t="s">
        <v>283</v>
      </c>
      <c r="H111" s="96">
        <v>46230</v>
      </c>
      <c r="I111" s="97">
        <v>2</v>
      </c>
    </row>
    <row r="112" spans="1:9" ht="13.5" x14ac:dyDescent="0.25">
      <c r="A112" s="98" t="s">
        <v>1041</v>
      </c>
      <c r="B112" s="92"/>
      <c r="C112" s="98"/>
      <c r="D112" s="91"/>
      <c r="E112" s="99"/>
      <c r="F112" s="94"/>
      <c r="G112" s="95"/>
      <c r="H112" s="96"/>
      <c r="I112" s="97"/>
    </row>
    <row r="113" spans="1:9" ht="13.5" x14ac:dyDescent="0.25">
      <c r="A113" s="91" t="s">
        <v>381</v>
      </c>
      <c r="B113" s="92" t="s">
        <v>285</v>
      </c>
      <c r="C113" s="91" t="s">
        <v>381</v>
      </c>
      <c r="D113" s="91" t="s">
        <v>256</v>
      </c>
      <c r="E113" s="93">
        <v>31761</v>
      </c>
      <c r="F113" s="94">
        <f t="shared" ref="F113:F121" ca="1" si="5">DATEDIF(E113,TODAY(),"Y")</f>
        <v>29</v>
      </c>
      <c r="G113" s="95" t="s">
        <v>283</v>
      </c>
      <c r="H113" s="96">
        <v>69060</v>
      </c>
      <c r="I113" s="97">
        <v>1</v>
      </c>
    </row>
    <row r="114" spans="1:9" ht="13.5" x14ac:dyDescent="0.25">
      <c r="A114" s="91" t="s">
        <v>381</v>
      </c>
      <c r="B114" s="92" t="s">
        <v>271</v>
      </c>
      <c r="C114" s="91" t="s">
        <v>381</v>
      </c>
      <c r="D114" s="91" t="s">
        <v>256</v>
      </c>
      <c r="E114" s="93">
        <v>34139</v>
      </c>
      <c r="F114" s="94">
        <f t="shared" ca="1" si="5"/>
        <v>23</v>
      </c>
      <c r="G114" s="95" t="s">
        <v>283</v>
      </c>
      <c r="H114" s="96">
        <v>22920</v>
      </c>
      <c r="I114" s="97">
        <v>3</v>
      </c>
    </row>
    <row r="115" spans="1:9" ht="13.5" x14ac:dyDescent="0.25">
      <c r="A115" s="91" t="s">
        <v>381</v>
      </c>
      <c r="B115" s="92" t="s">
        <v>266</v>
      </c>
      <c r="C115" s="91" t="s">
        <v>381</v>
      </c>
      <c r="D115" s="91" t="s">
        <v>256</v>
      </c>
      <c r="E115" s="93">
        <v>34204</v>
      </c>
      <c r="F115" s="94">
        <f t="shared" ca="1" si="5"/>
        <v>23</v>
      </c>
      <c r="G115" s="95" t="s">
        <v>267</v>
      </c>
      <c r="H115" s="96">
        <v>26510</v>
      </c>
      <c r="I115" s="97">
        <v>1</v>
      </c>
    </row>
    <row r="116" spans="1:9" ht="13.5" x14ac:dyDescent="0.25">
      <c r="A116" s="91" t="s">
        <v>381</v>
      </c>
      <c r="B116" s="92" t="s">
        <v>280</v>
      </c>
      <c r="C116" s="91" t="s">
        <v>381</v>
      </c>
      <c r="D116" s="91" t="s">
        <v>256</v>
      </c>
      <c r="E116" s="93">
        <v>34872</v>
      </c>
      <c r="F116" s="94">
        <f t="shared" ca="1" si="5"/>
        <v>21</v>
      </c>
      <c r="G116" s="95" t="s">
        <v>283</v>
      </c>
      <c r="H116" s="96">
        <v>68300</v>
      </c>
      <c r="I116" s="97">
        <v>5</v>
      </c>
    </row>
    <row r="117" spans="1:9" ht="13.5" x14ac:dyDescent="0.25">
      <c r="A117" s="91" t="s">
        <v>381</v>
      </c>
      <c r="B117" s="92" t="s">
        <v>271</v>
      </c>
      <c r="C117" s="91" t="s">
        <v>381</v>
      </c>
      <c r="D117" s="91" t="s">
        <v>256</v>
      </c>
      <c r="E117" s="93">
        <v>34939</v>
      </c>
      <c r="F117" s="94">
        <f t="shared" ca="1" si="5"/>
        <v>21</v>
      </c>
      <c r="G117" s="95" t="s">
        <v>257</v>
      </c>
      <c r="H117" s="96">
        <v>49860</v>
      </c>
      <c r="I117" s="97">
        <v>2</v>
      </c>
    </row>
    <row r="118" spans="1:9" ht="13.5" x14ac:dyDescent="0.25">
      <c r="A118" s="91" t="s">
        <v>381</v>
      </c>
      <c r="B118" s="92" t="s">
        <v>285</v>
      </c>
      <c r="C118" s="91" t="s">
        <v>381</v>
      </c>
      <c r="D118" s="91" t="s">
        <v>256</v>
      </c>
      <c r="E118" s="93">
        <v>37837</v>
      </c>
      <c r="F118" s="94">
        <f t="shared" ca="1" si="5"/>
        <v>13</v>
      </c>
      <c r="G118" s="95" t="s">
        <v>283</v>
      </c>
      <c r="H118" s="96">
        <v>43680</v>
      </c>
      <c r="I118" s="97">
        <v>5</v>
      </c>
    </row>
    <row r="119" spans="1:9" ht="13.5" x14ac:dyDescent="0.25">
      <c r="A119" s="91" t="s">
        <v>381</v>
      </c>
      <c r="B119" s="92" t="s">
        <v>271</v>
      </c>
      <c r="C119" s="91" t="s">
        <v>381</v>
      </c>
      <c r="D119" s="91" t="s">
        <v>252</v>
      </c>
      <c r="E119" s="99">
        <v>39003</v>
      </c>
      <c r="F119" s="94">
        <f t="shared" ca="1" si="5"/>
        <v>10</v>
      </c>
      <c r="G119" s="95"/>
      <c r="H119" s="96">
        <v>27484</v>
      </c>
      <c r="I119" s="97">
        <v>4</v>
      </c>
    </row>
    <row r="120" spans="1:9" ht="13.5" x14ac:dyDescent="0.25">
      <c r="A120" s="91" t="s">
        <v>381</v>
      </c>
      <c r="B120" s="92" t="s">
        <v>271</v>
      </c>
      <c r="C120" s="91" t="s">
        <v>381</v>
      </c>
      <c r="D120" s="91" t="s">
        <v>261</v>
      </c>
      <c r="E120" s="99">
        <v>39206</v>
      </c>
      <c r="F120" s="94">
        <f t="shared" ca="1" si="5"/>
        <v>9</v>
      </c>
      <c r="G120" s="95" t="s">
        <v>283</v>
      </c>
      <c r="H120" s="96">
        <v>28625</v>
      </c>
      <c r="I120" s="97">
        <v>1</v>
      </c>
    </row>
    <row r="121" spans="1:9" ht="13.5" x14ac:dyDescent="0.25">
      <c r="A121" s="91" t="s">
        <v>381</v>
      </c>
      <c r="B121" s="92" t="s">
        <v>285</v>
      </c>
      <c r="C121" s="91" t="s">
        <v>381</v>
      </c>
      <c r="D121" s="91" t="s">
        <v>261</v>
      </c>
      <c r="E121" s="93">
        <v>39262</v>
      </c>
      <c r="F121" s="94">
        <f t="shared" ca="1" si="5"/>
        <v>9</v>
      </c>
      <c r="G121" s="95" t="s">
        <v>283</v>
      </c>
      <c r="H121" s="96">
        <v>10520</v>
      </c>
      <c r="I121" s="97">
        <v>4</v>
      </c>
    </row>
    <row r="122" spans="1:9" ht="13.5" x14ac:dyDescent="0.25">
      <c r="A122" s="98" t="s">
        <v>1042</v>
      </c>
      <c r="B122" s="92"/>
      <c r="C122" s="98"/>
      <c r="D122" s="91"/>
      <c r="E122" s="93"/>
      <c r="F122" s="94"/>
      <c r="G122" s="95"/>
      <c r="H122" s="96"/>
      <c r="I122" s="97"/>
    </row>
    <row r="123" spans="1:9" ht="13.5" x14ac:dyDescent="0.25">
      <c r="A123" s="91" t="s">
        <v>391</v>
      </c>
      <c r="B123" s="92" t="s">
        <v>285</v>
      </c>
      <c r="C123" s="91" t="s">
        <v>391</v>
      </c>
      <c r="D123" s="91" t="s">
        <v>252</v>
      </c>
      <c r="E123" s="93">
        <v>31873</v>
      </c>
      <c r="F123" s="94">
        <f t="shared" ref="F123:F141" ca="1" si="6">DATEDIF(E123,TODAY(),"Y")</f>
        <v>29</v>
      </c>
      <c r="G123" s="95"/>
      <c r="H123" s="96">
        <v>14712</v>
      </c>
      <c r="I123" s="97">
        <v>5</v>
      </c>
    </row>
    <row r="124" spans="1:9" ht="13.5" x14ac:dyDescent="0.25">
      <c r="A124" s="91" t="s">
        <v>391</v>
      </c>
      <c r="B124" s="92" t="s">
        <v>251</v>
      </c>
      <c r="C124" s="91" t="s">
        <v>391</v>
      </c>
      <c r="D124" s="91" t="s">
        <v>247</v>
      </c>
      <c r="E124" s="93">
        <v>31935</v>
      </c>
      <c r="F124" s="94">
        <f t="shared" ca="1" si="6"/>
        <v>29</v>
      </c>
      <c r="G124" s="95"/>
      <c r="H124" s="96">
        <v>80050</v>
      </c>
      <c r="I124" s="97">
        <v>2</v>
      </c>
    </row>
    <row r="125" spans="1:9" ht="13.5" x14ac:dyDescent="0.25">
      <c r="A125" s="91" t="s">
        <v>391</v>
      </c>
      <c r="B125" s="92" t="s">
        <v>245</v>
      </c>
      <c r="C125" s="91" t="s">
        <v>391</v>
      </c>
      <c r="D125" s="91" t="s">
        <v>256</v>
      </c>
      <c r="E125" s="93">
        <v>32137</v>
      </c>
      <c r="F125" s="94">
        <f t="shared" ca="1" si="6"/>
        <v>28</v>
      </c>
      <c r="G125" s="95" t="s">
        <v>283</v>
      </c>
      <c r="H125" s="96">
        <v>37620</v>
      </c>
      <c r="I125" s="97">
        <v>5</v>
      </c>
    </row>
    <row r="126" spans="1:9" ht="13.5" x14ac:dyDescent="0.25">
      <c r="A126" s="91" t="s">
        <v>391</v>
      </c>
      <c r="B126" s="92" t="s">
        <v>271</v>
      </c>
      <c r="C126" s="91" t="s">
        <v>391</v>
      </c>
      <c r="D126" s="91" t="s">
        <v>256</v>
      </c>
      <c r="E126" s="93">
        <v>32303</v>
      </c>
      <c r="F126" s="94">
        <f t="shared" ca="1" si="6"/>
        <v>28</v>
      </c>
      <c r="G126" s="95" t="s">
        <v>267</v>
      </c>
      <c r="H126" s="96">
        <v>82500</v>
      </c>
      <c r="I126" s="97">
        <v>5</v>
      </c>
    </row>
    <row r="127" spans="1:9" ht="13.5" x14ac:dyDescent="0.25">
      <c r="A127" s="91" t="s">
        <v>391</v>
      </c>
      <c r="B127" s="92" t="s">
        <v>285</v>
      </c>
      <c r="C127" s="91" t="s">
        <v>391</v>
      </c>
      <c r="D127" s="91" t="s">
        <v>256</v>
      </c>
      <c r="E127" s="93">
        <v>32513</v>
      </c>
      <c r="F127" s="94">
        <f t="shared" ca="1" si="6"/>
        <v>27</v>
      </c>
      <c r="G127" s="95" t="s">
        <v>283</v>
      </c>
      <c r="H127" s="96">
        <v>82760</v>
      </c>
      <c r="I127" s="97">
        <v>4</v>
      </c>
    </row>
    <row r="128" spans="1:9" ht="13.5" x14ac:dyDescent="0.25">
      <c r="A128" s="91" t="s">
        <v>391</v>
      </c>
      <c r="B128" s="92" t="s">
        <v>285</v>
      </c>
      <c r="C128" s="91" t="s">
        <v>391</v>
      </c>
      <c r="D128" s="91" t="s">
        <v>261</v>
      </c>
      <c r="E128" s="93">
        <v>32684</v>
      </c>
      <c r="F128" s="94">
        <f t="shared" ca="1" si="6"/>
        <v>27</v>
      </c>
      <c r="G128" s="95" t="s">
        <v>276</v>
      </c>
      <c r="H128" s="96">
        <v>18655</v>
      </c>
      <c r="I128" s="97">
        <v>4</v>
      </c>
    </row>
    <row r="129" spans="1:9" ht="13.5" x14ac:dyDescent="0.25">
      <c r="A129" s="91" t="s">
        <v>391</v>
      </c>
      <c r="B129" s="92" t="s">
        <v>245</v>
      </c>
      <c r="C129" s="91" t="s">
        <v>391</v>
      </c>
      <c r="D129" s="91" t="s">
        <v>247</v>
      </c>
      <c r="E129" s="93">
        <v>33840</v>
      </c>
      <c r="F129" s="94">
        <f t="shared" ca="1" si="6"/>
        <v>24</v>
      </c>
      <c r="G129" s="95"/>
      <c r="H129" s="96">
        <v>35260</v>
      </c>
      <c r="I129" s="97">
        <v>2</v>
      </c>
    </row>
    <row r="130" spans="1:9" ht="13.5" x14ac:dyDescent="0.25">
      <c r="A130" s="91" t="s">
        <v>391</v>
      </c>
      <c r="B130" s="92" t="s">
        <v>266</v>
      </c>
      <c r="C130" s="91" t="s">
        <v>391</v>
      </c>
      <c r="D130" s="91" t="s">
        <v>256</v>
      </c>
      <c r="E130" s="93">
        <v>34177</v>
      </c>
      <c r="F130" s="94">
        <f t="shared" ca="1" si="6"/>
        <v>23</v>
      </c>
      <c r="G130" s="95" t="s">
        <v>257</v>
      </c>
      <c r="H130" s="96">
        <v>80120</v>
      </c>
      <c r="I130" s="97">
        <v>4</v>
      </c>
    </row>
    <row r="131" spans="1:9" ht="13.5" x14ac:dyDescent="0.25">
      <c r="A131" s="91" t="s">
        <v>391</v>
      </c>
      <c r="B131" s="92" t="s">
        <v>285</v>
      </c>
      <c r="C131" s="91" t="s">
        <v>391</v>
      </c>
      <c r="D131" s="91" t="s">
        <v>252</v>
      </c>
      <c r="E131" s="93">
        <v>34363</v>
      </c>
      <c r="F131" s="94">
        <f t="shared" ca="1" si="6"/>
        <v>22</v>
      </c>
      <c r="G131" s="95"/>
      <c r="H131" s="96">
        <v>12676</v>
      </c>
      <c r="I131" s="97">
        <v>2</v>
      </c>
    </row>
    <row r="132" spans="1:9" ht="13.5" x14ac:dyDescent="0.25">
      <c r="A132" s="91" t="s">
        <v>391</v>
      </c>
      <c r="B132" s="92" t="s">
        <v>271</v>
      </c>
      <c r="C132" s="91" t="s">
        <v>391</v>
      </c>
      <c r="D132" s="91" t="s">
        <v>247</v>
      </c>
      <c r="E132" s="93">
        <v>34427</v>
      </c>
      <c r="F132" s="94">
        <f t="shared" ca="1" si="6"/>
        <v>22</v>
      </c>
      <c r="G132" s="95"/>
      <c r="H132" s="96">
        <v>76020</v>
      </c>
      <c r="I132" s="97">
        <v>1</v>
      </c>
    </row>
    <row r="133" spans="1:9" ht="13.5" x14ac:dyDescent="0.25">
      <c r="A133" s="91" t="s">
        <v>391</v>
      </c>
      <c r="B133" s="92" t="s">
        <v>271</v>
      </c>
      <c r="C133" s="91" t="s">
        <v>391</v>
      </c>
      <c r="D133" s="91" t="s">
        <v>247</v>
      </c>
      <c r="E133" s="93">
        <v>34649</v>
      </c>
      <c r="F133" s="94">
        <f t="shared" ca="1" si="6"/>
        <v>22</v>
      </c>
      <c r="G133" s="95"/>
      <c r="H133" s="96">
        <v>64470</v>
      </c>
      <c r="I133" s="97">
        <v>3</v>
      </c>
    </row>
    <row r="134" spans="1:9" ht="13.5" x14ac:dyDescent="0.25">
      <c r="A134" s="91" t="s">
        <v>391</v>
      </c>
      <c r="B134" s="92" t="s">
        <v>271</v>
      </c>
      <c r="C134" s="91" t="s">
        <v>391</v>
      </c>
      <c r="D134" s="91" t="s">
        <v>256</v>
      </c>
      <c r="E134" s="93">
        <v>34767</v>
      </c>
      <c r="F134" s="94">
        <f t="shared" ca="1" si="6"/>
        <v>21</v>
      </c>
      <c r="G134" s="95" t="s">
        <v>283</v>
      </c>
      <c r="H134" s="96">
        <v>50110</v>
      </c>
      <c r="I134" s="97">
        <v>1</v>
      </c>
    </row>
    <row r="135" spans="1:9" ht="13.5" x14ac:dyDescent="0.25">
      <c r="A135" s="91" t="s">
        <v>391</v>
      </c>
      <c r="B135" s="92" t="s">
        <v>251</v>
      </c>
      <c r="C135" s="91" t="s">
        <v>391</v>
      </c>
      <c r="D135" s="91" t="s">
        <v>247</v>
      </c>
      <c r="E135" s="93">
        <v>34866</v>
      </c>
      <c r="F135" s="94">
        <f t="shared" ca="1" si="6"/>
        <v>21</v>
      </c>
      <c r="G135" s="95"/>
      <c r="H135" s="96">
        <v>32940</v>
      </c>
      <c r="I135" s="97">
        <v>5</v>
      </c>
    </row>
    <row r="136" spans="1:9" ht="13.5" x14ac:dyDescent="0.25">
      <c r="A136" s="91" t="s">
        <v>391</v>
      </c>
      <c r="B136" s="92" t="s">
        <v>285</v>
      </c>
      <c r="C136" s="91" t="s">
        <v>391</v>
      </c>
      <c r="D136" s="91" t="s">
        <v>256</v>
      </c>
      <c r="E136" s="93">
        <v>34959</v>
      </c>
      <c r="F136" s="94">
        <f t="shared" ca="1" si="6"/>
        <v>21</v>
      </c>
      <c r="G136" s="95" t="s">
        <v>283</v>
      </c>
      <c r="H136" s="96">
        <v>61330</v>
      </c>
      <c r="I136" s="97">
        <v>1</v>
      </c>
    </row>
    <row r="137" spans="1:9" ht="13.5" x14ac:dyDescent="0.25">
      <c r="A137" s="91" t="s">
        <v>391</v>
      </c>
      <c r="B137" s="92" t="s">
        <v>266</v>
      </c>
      <c r="C137" s="91" t="s">
        <v>391</v>
      </c>
      <c r="D137" s="91" t="s">
        <v>247</v>
      </c>
      <c r="E137" s="93">
        <v>35032</v>
      </c>
      <c r="F137" s="94">
        <f t="shared" ca="1" si="6"/>
        <v>20</v>
      </c>
      <c r="G137" s="95"/>
      <c r="H137" s="96">
        <v>86970</v>
      </c>
      <c r="I137" s="97">
        <v>4</v>
      </c>
    </row>
    <row r="138" spans="1:9" ht="13.5" x14ac:dyDescent="0.25">
      <c r="A138" s="91" t="s">
        <v>391</v>
      </c>
      <c r="B138" s="92" t="s">
        <v>271</v>
      </c>
      <c r="C138" s="91" t="s">
        <v>391</v>
      </c>
      <c r="D138" s="91" t="s">
        <v>261</v>
      </c>
      <c r="E138" s="93">
        <v>35047</v>
      </c>
      <c r="F138" s="94">
        <f t="shared" ca="1" si="6"/>
        <v>20</v>
      </c>
      <c r="G138" s="95" t="s">
        <v>276</v>
      </c>
      <c r="H138" s="96">
        <v>42905</v>
      </c>
      <c r="I138" s="97">
        <v>1</v>
      </c>
    </row>
    <row r="139" spans="1:9" ht="13.5" x14ac:dyDescent="0.25">
      <c r="A139" s="91" t="s">
        <v>391</v>
      </c>
      <c r="B139" s="92" t="s">
        <v>271</v>
      </c>
      <c r="C139" s="91" t="s">
        <v>391</v>
      </c>
      <c r="D139" s="91" t="s">
        <v>256</v>
      </c>
      <c r="E139" s="93">
        <v>35803</v>
      </c>
      <c r="F139" s="94">
        <f t="shared" ca="1" si="6"/>
        <v>18</v>
      </c>
      <c r="G139" s="95" t="s">
        <v>267</v>
      </c>
      <c r="H139" s="96">
        <v>61150</v>
      </c>
      <c r="I139" s="97">
        <v>4</v>
      </c>
    </row>
    <row r="140" spans="1:9" ht="13.5" x14ac:dyDescent="0.25">
      <c r="A140" s="91" t="s">
        <v>391</v>
      </c>
      <c r="B140" s="92" t="s">
        <v>266</v>
      </c>
      <c r="C140" s="91" t="s">
        <v>391</v>
      </c>
      <c r="D140" s="91" t="s">
        <v>256</v>
      </c>
      <c r="E140" s="93">
        <v>36302</v>
      </c>
      <c r="F140" s="94">
        <f t="shared" ca="1" si="6"/>
        <v>17</v>
      </c>
      <c r="G140" s="95" t="s">
        <v>267</v>
      </c>
      <c r="H140" s="96">
        <v>39740</v>
      </c>
      <c r="I140" s="97">
        <v>1</v>
      </c>
    </row>
    <row r="141" spans="1:9" ht="13.5" x14ac:dyDescent="0.25">
      <c r="A141" s="91" t="s">
        <v>391</v>
      </c>
      <c r="B141" s="92" t="s">
        <v>280</v>
      </c>
      <c r="C141" s="91" t="s">
        <v>391</v>
      </c>
      <c r="D141" s="91" t="s">
        <v>247</v>
      </c>
      <c r="E141" s="93">
        <v>36357</v>
      </c>
      <c r="F141" s="94">
        <f t="shared" ca="1" si="6"/>
        <v>17</v>
      </c>
      <c r="G141" s="95"/>
      <c r="H141" s="96">
        <v>73390</v>
      </c>
      <c r="I141" s="97">
        <v>2</v>
      </c>
    </row>
    <row r="142" spans="1:9" ht="13.5" x14ac:dyDescent="0.25">
      <c r="A142" s="98" t="s">
        <v>1043</v>
      </c>
      <c r="B142" s="92"/>
      <c r="C142" s="98"/>
      <c r="D142" s="91"/>
      <c r="E142" s="93"/>
      <c r="F142" s="94"/>
      <c r="G142" s="95"/>
      <c r="H142" s="96"/>
      <c r="I142" s="97"/>
    </row>
    <row r="143" spans="1:9" ht="13.5" x14ac:dyDescent="0.25">
      <c r="A143" s="91" t="s">
        <v>411</v>
      </c>
      <c r="B143" s="92" t="s">
        <v>271</v>
      </c>
      <c r="C143" s="91" t="s">
        <v>411</v>
      </c>
      <c r="D143" s="91" t="s">
        <v>256</v>
      </c>
      <c r="E143" s="93">
        <v>34019</v>
      </c>
      <c r="F143" s="94">
        <f t="shared" ref="F143:F148" ca="1" si="7">DATEDIF(E143,TODAY(),"Y")</f>
        <v>23</v>
      </c>
      <c r="G143" s="95" t="s">
        <v>257</v>
      </c>
      <c r="H143" s="96">
        <v>66740</v>
      </c>
      <c r="I143" s="97">
        <v>2</v>
      </c>
    </row>
    <row r="144" spans="1:9" ht="13.5" x14ac:dyDescent="0.25">
      <c r="A144" s="91" t="s">
        <v>411</v>
      </c>
      <c r="B144" s="92" t="s">
        <v>271</v>
      </c>
      <c r="C144" s="91" t="s">
        <v>411</v>
      </c>
      <c r="D144" s="91" t="s">
        <v>256</v>
      </c>
      <c r="E144" s="93">
        <v>34019</v>
      </c>
      <c r="F144" s="94">
        <f t="shared" ca="1" si="7"/>
        <v>23</v>
      </c>
      <c r="G144" s="95" t="s">
        <v>257</v>
      </c>
      <c r="H144" s="96">
        <v>66740</v>
      </c>
      <c r="I144" s="97">
        <v>2</v>
      </c>
    </row>
    <row r="145" spans="1:9" ht="13.5" x14ac:dyDescent="0.25">
      <c r="A145" s="91" t="s">
        <v>411</v>
      </c>
      <c r="B145" s="92" t="s">
        <v>245</v>
      </c>
      <c r="C145" s="91" t="s">
        <v>411</v>
      </c>
      <c r="D145" s="91" t="s">
        <v>256</v>
      </c>
      <c r="E145" s="93">
        <v>35259</v>
      </c>
      <c r="F145" s="94">
        <f t="shared" ca="1" si="7"/>
        <v>20</v>
      </c>
      <c r="G145" s="95" t="s">
        <v>283</v>
      </c>
      <c r="H145" s="96">
        <v>75060</v>
      </c>
      <c r="I145" s="97">
        <v>5</v>
      </c>
    </row>
    <row r="146" spans="1:9" ht="13.5" x14ac:dyDescent="0.25">
      <c r="A146" s="91" t="s">
        <v>411</v>
      </c>
      <c r="B146" s="92" t="s">
        <v>285</v>
      </c>
      <c r="C146" s="91" t="s">
        <v>411</v>
      </c>
      <c r="D146" s="91" t="s">
        <v>247</v>
      </c>
      <c r="E146" s="93">
        <v>37217</v>
      </c>
      <c r="F146" s="94">
        <f t="shared" ca="1" si="7"/>
        <v>14</v>
      </c>
      <c r="G146" s="95"/>
      <c r="H146" s="96">
        <v>60060</v>
      </c>
      <c r="I146" s="97">
        <v>2</v>
      </c>
    </row>
    <row r="147" spans="1:9" ht="13.5" x14ac:dyDescent="0.25">
      <c r="A147" s="91" t="s">
        <v>411</v>
      </c>
      <c r="B147" s="92" t="s">
        <v>285</v>
      </c>
      <c r="C147" s="91" t="s">
        <v>411</v>
      </c>
      <c r="D147" s="91" t="s">
        <v>256</v>
      </c>
      <c r="E147" s="93">
        <v>37277</v>
      </c>
      <c r="F147" s="94">
        <f t="shared" ca="1" si="7"/>
        <v>14</v>
      </c>
      <c r="G147" s="95" t="s">
        <v>257</v>
      </c>
      <c r="H147" s="96">
        <v>47350</v>
      </c>
      <c r="I147" s="97">
        <v>5</v>
      </c>
    </row>
    <row r="148" spans="1:9" ht="13.5" x14ac:dyDescent="0.25">
      <c r="A148" s="91" t="s">
        <v>411</v>
      </c>
      <c r="B148" s="92" t="s">
        <v>245</v>
      </c>
      <c r="C148" s="91" t="s">
        <v>411</v>
      </c>
      <c r="D148" s="91" t="s">
        <v>256</v>
      </c>
      <c r="E148" s="99">
        <v>39090</v>
      </c>
      <c r="F148" s="94">
        <f t="shared" ca="1" si="7"/>
        <v>9</v>
      </c>
      <c r="G148" s="95" t="s">
        <v>283</v>
      </c>
      <c r="H148" s="96">
        <v>79150</v>
      </c>
      <c r="I148" s="97">
        <v>2</v>
      </c>
    </row>
    <row r="149" spans="1:9" ht="13.5" x14ac:dyDescent="0.25">
      <c r="A149" s="98" t="s">
        <v>1044</v>
      </c>
      <c r="B149" s="92"/>
      <c r="C149" s="98"/>
      <c r="D149" s="91"/>
      <c r="E149" s="99"/>
      <c r="F149" s="94"/>
      <c r="G149" s="95"/>
      <c r="H149" s="96"/>
      <c r="I149" s="97"/>
    </row>
    <row r="150" spans="1:9" ht="13.5" x14ac:dyDescent="0.25">
      <c r="A150" s="91" t="s">
        <v>417</v>
      </c>
      <c r="B150" s="92" t="s">
        <v>280</v>
      </c>
      <c r="C150" s="91" t="s">
        <v>417</v>
      </c>
      <c r="D150" s="91" t="s">
        <v>256</v>
      </c>
      <c r="E150" s="93">
        <v>31769</v>
      </c>
      <c r="F150" s="94">
        <f t="shared" ref="F150:F188" ca="1" si="8">DATEDIF(E150,TODAY(),"Y")</f>
        <v>29</v>
      </c>
      <c r="G150" s="95" t="s">
        <v>276</v>
      </c>
      <c r="H150" s="96">
        <v>32360</v>
      </c>
      <c r="I150" s="97">
        <v>4</v>
      </c>
    </row>
    <row r="151" spans="1:9" ht="13.5" x14ac:dyDescent="0.25">
      <c r="A151" s="91" t="s">
        <v>417</v>
      </c>
      <c r="B151" s="92" t="s">
        <v>271</v>
      </c>
      <c r="C151" s="91" t="s">
        <v>417</v>
      </c>
      <c r="D151" s="91" t="s">
        <v>256</v>
      </c>
      <c r="E151" s="93">
        <v>31807</v>
      </c>
      <c r="F151" s="94">
        <f t="shared" ca="1" si="8"/>
        <v>29</v>
      </c>
      <c r="G151" s="95" t="s">
        <v>267</v>
      </c>
      <c r="H151" s="96">
        <v>35360</v>
      </c>
      <c r="I151" s="97">
        <v>5</v>
      </c>
    </row>
    <row r="152" spans="1:9" ht="13.5" x14ac:dyDescent="0.25">
      <c r="A152" s="91" t="s">
        <v>417</v>
      </c>
      <c r="B152" s="92" t="s">
        <v>271</v>
      </c>
      <c r="C152" s="91" t="s">
        <v>417</v>
      </c>
      <c r="D152" s="91" t="s">
        <v>256</v>
      </c>
      <c r="E152" s="93">
        <v>32095</v>
      </c>
      <c r="F152" s="94">
        <f t="shared" ca="1" si="8"/>
        <v>29</v>
      </c>
      <c r="G152" s="95" t="s">
        <v>283</v>
      </c>
      <c r="H152" s="96">
        <v>32140</v>
      </c>
      <c r="I152" s="97">
        <v>2</v>
      </c>
    </row>
    <row r="153" spans="1:9" ht="13.5" x14ac:dyDescent="0.25">
      <c r="A153" s="91" t="s">
        <v>417</v>
      </c>
      <c r="B153" s="92" t="s">
        <v>285</v>
      </c>
      <c r="C153" s="91" t="s">
        <v>417</v>
      </c>
      <c r="D153" s="91" t="s">
        <v>247</v>
      </c>
      <c r="E153" s="93">
        <v>32114</v>
      </c>
      <c r="F153" s="94">
        <f t="shared" ca="1" si="8"/>
        <v>28</v>
      </c>
      <c r="G153" s="95"/>
      <c r="H153" s="96">
        <v>22320</v>
      </c>
      <c r="I153" s="97">
        <v>2</v>
      </c>
    </row>
    <row r="154" spans="1:9" ht="13.5" x14ac:dyDescent="0.25">
      <c r="A154" s="91" t="s">
        <v>417</v>
      </c>
      <c r="B154" s="92" t="s">
        <v>245</v>
      </c>
      <c r="C154" s="91" t="s">
        <v>417</v>
      </c>
      <c r="D154" s="91" t="s">
        <v>261</v>
      </c>
      <c r="E154" s="93">
        <v>32399</v>
      </c>
      <c r="F154" s="94">
        <f t="shared" ca="1" si="8"/>
        <v>28</v>
      </c>
      <c r="G154" s="95" t="s">
        <v>257</v>
      </c>
      <c r="H154" s="96">
        <v>34110</v>
      </c>
      <c r="I154" s="97">
        <v>4</v>
      </c>
    </row>
    <row r="155" spans="1:9" ht="13.5" x14ac:dyDescent="0.25">
      <c r="A155" s="91" t="s">
        <v>417</v>
      </c>
      <c r="B155" s="92" t="s">
        <v>280</v>
      </c>
      <c r="C155" s="91" t="s">
        <v>417</v>
      </c>
      <c r="D155" s="91" t="s">
        <v>256</v>
      </c>
      <c r="E155" s="93">
        <v>32562</v>
      </c>
      <c r="F155" s="94">
        <f t="shared" ca="1" si="8"/>
        <v>27</v>
      </c>
      <c r="G155" s="95" t="s">
        <v>257</v>
      </c>
      <c r="H155" s="96">
        <v>64510</v>
      </c>
      <c r="I155" s="97">
        <v>3</v>
      </c>
    </row>
    <row r="156" spans="1:9" ht="13.5" x14ac:dyDescent="0.25">
      <c r="A156" s="91" t="s">
        <v>417</v>
      </c>
      <c r="B156" s="92" t="s">
        <v>251</v>
      </c>
      <c r="C156" s="91" t="s">
        <v>417</v>
      </c>
      <c r="D156" s="91" t="s">
        <v>256</v>
      </c>
      <c r="E156" s="93">
        <v>32613</v>
      </c>
      <c r="F156" s="94">
        <f t="shared" ca="1" si="8"/>
        <v>27</v>
      </c>
      <c r="G156" s="95" t="s">
        <v>283</v>
      </c>
      <c r="H156" s="96">
        <v>46340</v>
      </c>
      <c r="I156" s="97">
        <v>5</v>
      </c>
    </row>
    <row r="157" spans="1:9" ht="13.5" x14ac:dyDescent="0.25">
      <c r="A157" s="91" t="s">
        <v>417</v>
      </c>
      <c r="B157" s="92" t="s">
        <v>251</v>
      </c>
      <c r="C157" s="91" t="s">
        <v>417</v>
      </c>
      <c r="D157" s="91" t="s">
        <v>256</v>
      </c>
      <c r="E157" s="93">
        <v>32613</v>
      </c>
      <c r="F157" s="94">
        <f t="shared" ca="1" si="8"/>
        <v>27</v>
      </c>
      <c r="G157" s="95" t="s">
        <v>283</v>
      </c>
      <c r="H157" s="96">
        <v>46340</v>
      </c>
      <c r="I157" s="97">
        <v>5</v>
      </c>
    </row>
    <row r="158" spans="1:9" ht="13.5" x14ac:dyDescent="0.25">
      <c r="A158" s="91" t="s">
        <v>417</v>
      </c>
      <c r="B158" s="92" t="s">
        <v>271</v>
      </c>
      <c r="C158" s="91" t="s">
        <v>417</v>
      </c>
      <c r="D158" s="91" t="s">
        <v>247</v>
      </c>
      <c r="E158" s="93">
        <v>32639</v>
      </c>
      <c r="F158" s="94">
        <f t="shared" ca="1" si="8"/>
        <v>27</v>
      </c>
      <c r="G158" s="95"/>
      <c r="H158" s="96">
        <v>81070</v>
      </c>
      <c r="I158" s="97">
        <v>5</v>
      </c>
    </row>
    <row r="159" spans="1:9" ht="13.5" x14ac:dyDescent="0.25">
      <c r="A159" s="91" t="s">
        <v>417</v>
      </c>
      <c r="B159" s="92" t="s">
        <v>285</v>
      </c>
      <c r="C159" s="91" t="s">
        <v>417</v>
      </c>
      <c r="D159" s="91" t="s">
        <v>256</v>
      </c>
      <c r="E159" s="93">
        <v>32776</v>
      </c>
      <c r="F159" s="94">
        <f t="shared" ca="1" si="8"/>
        <v>27</v>
      </c>
      <c r="G159" s="95" t="s">
        <v>257</v>
      </c>
      <c r="H159" s="96">
        <v>31840</v>
      </c>
      <c r="I159" s="97">
        <v>1</v>
      </c>
    </row>
    <row r="160" spans="1:9" ht="13.5" x14ac:dyDescent="0.25">
      <c r="A160" s="91" t="s">
        <v>417</v>
      </c>
      <c r="B160" s="92" t="s">
        <v>245</v>
      </c>
      <c r="C160" s="91" t="s">
        <v>417</v>
      </c>
      <c r="D160" s="91" t="s">
        <v>247</v>
      </c>
      <c r="E160" s="93">
        <v>32851</v>
      </c>
      <c r="F160" s="94">
        <f t="shared" ca="1" si="8"/>
        <v>26</v>
      </c>
      <c r="G160" s="95"/>
      <c r="H160" s="96">
        <v>64090</v>
      </c>
      <c r="I160" s="97">
        <v>2</v>
      </c>
    </row>
    <row r="161" spans="1:9" ht="13.5" x14ac:dyDescent="0.25">
      <c r="A161" s="91" t="s">
        <v>417</v>
      </c>
      <c r="B161" s="92" t="s">
        <v>271</v>
      </c>
      <c r="C161" s="91" t="s">
        <v>417</v>
      </c>
      <c r="D161" s="91" t="s">
        <v>256</v>
      </c>
      <c r="E161" s="93">
        <v>32903</v>
      </c>
      <c r="F161" s="94">
        <f t="shared" ca="1" si="8"/>
        <v>26</v>
      </c>
      <c r="G161" s="95" t="s">
        <v>257</v>
      </c>
      <c r="H161" s="96">
        <v>72900</v>
      </c>
      <c r="I161" s="97">
        <v>3</v>
      </c>
    </row>
    <row r="162" spans="1:9" ht="13.5" x14ac:dyDescent="0.25">
      <c r="A162" s="91" t="s">
        <v>417</v>
      </c>
      <c r="B162" s="92" t="s">
        <v>285</v>
      </c>
      <c r="C162" s="91" t="s">
        <v>417</v>
      </c>
      <c r="D162" s="91" t="s">
        <v>261</v>
      </c>
      <c r="E162" s="93">
        <v>33445</v>
      </c>
      <c r="F162" s="94">
        <f t="shared" ca="1" si="8"/>
        <v>25</v>
      </c>
      <c r="G162" s="95" t="s">
        <v>267</v>
      </c>
      <c r="H162" s="96">
        <v>15005</v>
      </c>
      <c r="I162" s="97">
        <v>4</v>
      </c>
    </row>
    <row r="163" spans="1:9" ht="13.5" x14ac:dyDescent="0.25">
      <c r="A163" s="91" t="s">
        <v>417</v>
      </c>
      <c r="B163" s="92" t="s">
        <v>245</v>
      </c>
      <c r="C163" s="91" t="s">
        <v>417</v>
      </c>
      <c r="D163" s="91" t="s">
        <v>247</v>
      </c>
      <c r="E163" s="93">
        <v>33451</v>
      </c>
      <c r="F163" s="94">
        <f t="shared" ca="1" si="8"/>
        <v>25</v>
      </c>
      <c r="G163" s="95"/>
      <c r="H163" s="96">
        <v>45040</v>
      </c>
      <c r="I163" s="97">
        <v>5</v>
      </c>
    </row>
    <row r="164" spans="1:9" ht="13.5" x14ac:dyDescent="0.25">
      <c r="A164" s="91" t="s">
        <v>417</v>
      </c>
      <c r="B164" s="92" t="s">
        <v>271</v>
      </c>
      <c r="C164" s="91" t="s">
        <v>417</v>
      </c>
      <c r="D164" s="91" t="s">
        <v>247</v>
      </c>
      <c r="E164" s="93">
        <v>33461</v>
      </c>
      <c r="F164" s="94">
        <f t="shared" ca="1" si="8"/>
        <v>25</v>
      </c>
      <c r="G164" s="95"/>
      <c r="H164" s="96">
        <v>26360</v>
      </c>
      <c r="I164" s="97">
        <v>4</v>
      </c>
    </row>
    <row r="165" spans="1:9" ht="13.5" x14ac:dyDescent="0.25">
      <c r="A165" s="91" t="s">
        <v>417</v>
      </c>
      <c r="B165" s="92" t="s">
        <v>285</v>
      </c>
      <c r="C165" s="91" t="s">
        <v>417</v>
      </c>
      <c r="D165" s="91" t="s">
        <v>247</v>
      </c>
      <c r="E165" s="93">
        <v>33602</v>
      </c>
      <c r="F165" s="94">
        <f t="shared" ca="1" si="8"/>
        <v>24</v>
      </c>
      <c r="G165" s="95"/>
      <c r="H165" s="96">
        <v>40560</v>
      </c>
      <c r="I165" s="97">
        <v>5</v>
      </c>
    </row>
    <row r="166" spans="1:9" ht="13.5" x14ac:dyDescent="0.25">
      <c r="A166" s="91" t="s">
        <v>417</v>
      </c>
      <c r="B166" s="92" t="s">
        <v>285</v>
      </c>
      <c r="C166" s="91" t="s">
        <v>417</v>
      </c>
      <c r="D166" s="91" t="s">
        <v>261</v>
      </c>
      <c r="E166" s="93">
        <v>33760</v>
      </c>
      <c r="F166" s="94">
        <f t="shared" ca="1" si="8"/>
        <v>24</v>
      </c>
      <c r="G166" s="95" t="s">
        <v>276</v>
      </c>
      <c r="H166" s="96">
        <v>21220</v>
      </c>
      <c r="I166" s="97">
        <v>3</v>
      </c>
    </row>
    <row r="167" spans="1:9" ht="13.5" x14ac:dyDescent="0.25">
      <c r="A167" s="91" t="s">
        <v>417</v>
      </c>
      <c r="B167" s="92" t="s">
        <v>271</v>
      </c>
      <c r="C167" s="91" t="s">
        <v>417</v>
      </c>
      <c r="D167" s="91" t="s">
        <v>256</v>
      </c>
      <c r="E167" s="93">
        <v>33774</v>
      </c>
      <c r="F167" s="94">
        <f t="shared" ca="1" si="8"/>
        <v>24</v>
      </c>
      <c r="G167" s="95" t="s">
        <v>276</v>
      </c>
      <c r="H167" s="96">
        <v>49260</v>
      </c>
      <c r="I167" s="97">
        <v>3</v>
      </c>
    </row>
    <row r="168" spans="1:9" ht="13.5" x14ac:dyDescent="0.25">
      <c r="A168" s="91" t="s">
        <v>417</v>
      </c>
      <c r="B168" s="92" t="s">
        <v>285</v>
      </c>
      <c r="C168" s="91" t="s">
        <v>417</v>
      </c>
      <c r="D168" s="91" t="s">
        <v>261</v>
      </c>
      <c r="E168" s="93">
        <v>33876</v>
      </c>
      <c r="F168" s="94">
        <f t="shared" ca="1" si="8"/>
        <v>24</v>
      </c>
      <c r="G168" s="95" t="s">
        <v>276</v>
      </c>
      <c r="H168" s="96">
        <v>32835</v>
      </c>
      <c r="I168" s="97">
        <v>2</v>
      </c>
    </row>
    <row r="169" spans="1:9" ht="13.5" x14ac:dyDescent="0.25">
      <c r="A169" s="91" t="s">
        <v>417</v>
      </c>
      <c r="B169" s="92" t="s">
        <v>285</v>
      </c>
      <c r="C169" s="91" t="s">
        <v>417</v>
      </c>
      <c r="D169" s="91" t="s">
        <v>256</v>
      </c>
      <c r="E169" s="93">
        <v>33943</v>
      </c>
      <c r="F169" s="94">
        <f t="shared" ca="1" si="8"/>
        <v>23</v>
      </c>
      <c r="G169" s="95" t="s">
        <v>257</v>
      </c>
      <c r="H169" s="96">
        <v>63780</v>
      </c>
      <c r="I169" s="97">
        <v>5</v>
      </c>
    </row>
    <row r="170" spans="1:9" ht="13.5" x14ac:dyDescent="0.25">
      <c r="A170" s="91" t="s">
        <v>417</v>
      </c>
      <c r="B170" s="92" t="s">
        <v>285</v>
      </c>
      <c r="C170" s="91" t="s">
        <v>417</v>
      </c>
      <c r="D170" s="91" t="s">
        <v>256</v>
      </c>
      <c r="E170" s="93">
        <v>34191</v>
      </c>
      <c r="F170" s="94">
        <f t="shared" ca="1" si="8"/>
        <v>23</v>
      </c>
      <c r="G170" s="95" t="s">
        <v>283</v>
      </c>
      <c r="H170" s="96">
        <v>37750</v>
      </c>
      <c r="I170" s="97">
        <v>5</v>
      </c>
    </row>
    <row r="171" spans="1:9" ht="13.5" x14ac:dyDescent="0.25">
      <c r="A171" s="91" t="s">
        <v>417</v>
      </c>
      <c r="B171" s="92" t="s">
        <v>271</v>
      </c>
      <c r="C171" s="91" t="s">
        <v>417</v>
      </c>
      <c r="D171" s="91" t="s">
        <v>256</v>
      </c>
      <c r="E171" s="93">
        <v>34295</v>
      </c>
      <c r="F171" s="94">
        <f t="shared" ca="1" si="8"/>
        <v>22</v>
      </c>
      <c r="G171" s="95" t="s">
        <v>283</v>
      </c>
      <c r="H171" s="96">
        <v>56870</v>
      </c>
      <c r="I171" s="97">
        <v>1</v>
      </c>
    </row>
    <row r="172" spans="1:9" ht="13.5" x14ac:dyDescent="0.25">
      <c r="A172" s="91" t="s">
        <v>417</v>
      </c>
      <c r="B172" s="92" t="s">
        <v>271</v>
      </c>
      <c r="C172" s="91" t="s">
        <v>417</v>
      </c>
      <c r="D172" s="91" t="s">
        <v>247</v>
      </c>
      <c r="E172" s="93">
        <v>34629</v>
      </c>
      <c r="F172" s="94">
        <f t="shared" ca="1" si="8"/>
        <v>22</v>
      </c>
      <c r="G172" s="95"/>
      <c r="H172" s="96">
        <v>25120</v>
      </c>
      <c r="I172" s="97">
        <v>5</v>
      </c>
    </row>
    <row r="173" spans="1:9" ht="13.5" x14ac:dyDescent="0.25">
      <c r="A173" s="91" t="s">
        <v>417</v>
      </c>
      <c r="B173" s="92" t="s">
        <v>251</v>
      </c>
      <c r="C173" s="91" t="s">
        <v>417</v>
      </c>
      <c r="D173" s="91" t="s">
        <v>256</v>
      </c>
      <c r="E173" s="93">
        <v>34679</v>
      </c>
      <c r="F173" s="94">
        <f t="shared" ca="1" si="8"/>
        <v>21</v>
      </c>
      <c r="G173" s="95" t="s">
        <v>262</v>
      </c>
      <c r="H173" s="96">
        <v>71010</v>
      </c>
      <c r="I173" s="97">
        <v>5</v>
      </c>
    </row>
    <row r="174" spans="1:9" ht="13.5" x14ac:dyDescent="0.25">
      <c r="A174" s="91" t="s">
        <v>417</v>
      </c>
      <c r="B174" s="92" t="s">
        <v>251</v>
      </c>
      <c r="C174" s="91" t="s">
        <v>417</v>
      </c>
      <c r="D174" s="91" t="s">
        <v>256</v>
      </c>
      <c r="E174" s="93">
        <v>34772</v>
      </c>
      <c r="F174" s="94">
        <f t="shared" ca="1" si="8"/>
        <v>21</v>
      </c>
      <c r="G174" s="95" t="s">
        <v>283</v>
      </c>
      <c r="H174" s="96">
        <v>82400</v>
      </c>
      <c r="I174" s="97">
        <v>2</v>
      </c>
    </row>
    <row r="175" spans="1:9" ht="13.5" x14ac:dyDescent="0.25">
      <c r="A175" s="91" t="s">
        <v>417</v>
      </c>
      <c r="B175" s="92" t="s">
        <v>280</v>
      </c>
      <c r="C175" s="91" t="s">
        <v>417</v>
      </c>
      <c r="D175" s="91" t="s">
        <v>252</v>
      </c>
      <c r="E175" s="93">
        <v>34953</v>
      </c>
      <c r="F175" s="94">
        <f t="shared" ca="1" si="8"/>
        <v>21</v>
      </c>
      <c r="G175" s="95"/>
      <c r="H175" s="96">
        <v>38768</v>
      </c>
      <c r="I175" s="97">
        <v>4</v>
      </c>
    </row>
    <row r="176" spans="1:9" ht="13.5" x14ac:dyDescent="0.25">
      <c r="A176" s="91" t="s">
        <v>417</v>
      </c>
      <c r="B176" s="92" t="s">
        <v>280</v>
      </c>
      <c r="C176" s="91" t="s">
        <v>417</v>
      </c>
      <c r="D176" s="91" t="s">
        <v>256</v>
      </c>
      <c r="E176" s="93">
        <v>35104</v>
      </c>
      <c r="F176" s="94">
        <f t="shared" ca="1" si="8"/>
        <v>20</v>
      </c>
      <c r="G176" s="95" t="s">
        <v>276</v>
      </c>
      <c r="H176" s="96">
        <v>39680</v>
      </c>
      <c r="I176" s="97">
        <v>5</v>
      </c>
    </row>
    <row r="177" spans="1:9" ht="13.5" x14ac:dyDescent="0.25">
      <c r="A177" s="91" t="s">
        <v>417</v>
      </c>
      <c r="B177" s="92" t="s">
        <v>245</v>
      </c>
      <c r="C177" s="91" t="s">
        <v>417</v>
      </c>
      <c r="D177" s="91" t="s">
        <v>256</v>
      </c>
      <c r="E177" s="93">
        <v>35333</v>
      </c>
      <c r="F177" s="94">
        <f t="shared" ca="1" si="8"/>
        <v>20</v>
      </c>
      <c r="G177" s="95" t="s">
        <v>283</v>
      </c>
      <c r="H177" s="96">
        <v>71380</v>
      </c>
      <c r="I177" s="97">
        <v>2</v>
      </c>
    </row>
    <row r="178" spans="1:9" ht="13.5" x14ac:dyDescent="0.25">
      <c r="A178" s="91" t="s">
        <v>417</v>
      </c>
      <c r="B178" s="92" t="s">
        <v>271</v>
      </c>
      <c r="C178" s="91" t="s">
        <v>417</v>
      </c>
      <c r="D178" s="91" t="s">
        <v>256</v>
      </c>
      <c r="E178" s="93">
        <v>35978</v>
      </c>
      <c r="F178" s="94">
        <f t="shared" ca="1" si="8"/>
        <v>18</v>
      </c>
      <c r="G178" s="95" t="s">
        <v>257</v>
      </c>
      <c r="H178" s="96">
        <v>42480</v>
      </c>
      <c r="I178" s="97">
        <v>3</v>
      </c>
    </row>
    <row r="179" spans="1:9" ht="13.5" x14ac:dyDescent="0.25">
      <c r="A179" s="91" t="s">
        <v>417</v>
      </c>
      <c r="B179" s="92" t="s">
        <v>285</v>
      </c>
      <c r="C179" s="91" t="s">
        <v>417</v>
      </c>
      <c r="D179" s="91" t="s">
        <v>247</v>
      </c>
      <c r="E179" s="93">
        <v>36331</v>
      </c>
      <c r="F179" s="94">
        <f t="shared" ca="1" si="8"/>
        <v>17</v>
      </c>
      <c r="G179" s="95"/>
      <c r="H179" s="96">
        <v>31970</v>
      </c>
      <c r="I179" s="97">
        <v>5</v>
      </c>
    </row>
    <row r="180" spans="1:9" ht="13.5" x14ac:dyDescent="0.25">
      <c r="A180" s="91" t="s">
        <v>417</v>
      </c>
      <c r="B180" s="92" t="s">
        <v>285</v>
      </c>
      <c r="C180" s="91" t="s">
        <v>417</v>
      </c>
      <c r="D180" s="91" t="s">
        <v>256</v>
      </c>
      <c r="E180" s="93">
        <v>36825</v>
      </c>
      <c r="F180" s="94">
        <f t="shared" ca="1" si="8"/>
        <v>16</v>
      </c>
      <c r="G180" s="95" t="s">
        <v>267</v>
      </c>
      <c r="H180" s="96">
        <v>65560</v>
      </c>
      <c r="I180" s="97">
        <v>1</v>
      </c>
    </row>
    <row r="181" spans="1:9" ht="13.5" x14ac:dyDescent="0.25">
      <c r="A181" s="91" t="s">
        <v>417</v>
      </c>
      <c r="B181" s="92" t="s">
        <v>285</v>
      </c>
      <c r="C181" s="91" t="s">
        <v>417</v>
      </c>
      <c r="D181" s="91" t="s">
        <v>256</v>
      </c>
      <c r="E181" s="93">
        <v>37443</v>
      </c>
      <c r="F181" s="94">
        <f t="shared" ca="1" si="8"/>
        <v>14</v>
      </c>
      <c r="G181" s="95" t="s">
        <v>257</v>
      </c>
      <c r="H181" s="96">
        <v>22410</v>
      </c>
      <c r="I181" s="97">
        <v>4</v>
      </c>
    </row>
    <row r="182" spans="1:9" ht="13.5" x14ac:dyDescent="0.25">
      <c r="A182" s="91" t="s">
        <v>417</v>
      </c>
      <c r="B182" s="92" t="s">
        <v>271</v>
      </c>
      <c r="C182" s="91" t="s">
        <v>417</v>
      </c>
      <c r="D182" s="91" t="s">
        <v>261</v>
      </c>
      <c r="E182" s="93">
        <v>38458</v>
      </c>
      <c r="F182" s="94">
        <f t="shared" ca="1" si="8"/>
        <v>11</v>
      </c>
      <c r="G182" s="95" t="s">
        <v>257</v>
      </c>
      <c r="H182" s="96">
        <v>39515</v>
      </c>
      <c r="I182" s="97">
        <v>5</v>
      </c>
    </row>
    <row r="183" spans="1:9" ht="13.5" x14ac:dyDescent="0.25">
      <c r="A183" s="91" t="s">
        <v>417</v>
      </c>
      <c r="B183" s="92" t="s">
        <v>271</v>
      </c>
      <c r="C183" s="91" t="s">
        <v>417</v>
      </c>
      <c r="D183" s="91" t="s">
        <v>252</v>
      </c>
      <c r="E183" s="93">
        <v>38583</v>
      </c>
      <c r="F183" s="94">
        <f t="shared" ca="1" si="8"/>
        <v>11</v>
      </c>
      <c r="G183" s="95"/>
      <c r="H183" s="96">
        <v>15744</v>
      </c>
      <c r="I183" s="97">
        <v>3</v>
      </c>
    </row>
    <row r="184" spans="1:9" ht="13.5" x14ac:dyDescent="0.25">
      <c r="A184" s="91" t="s">
        <v>417</v>
      </c>
      <c r="B184" s="92" t="s">
        <v>251</v>
      </c>
      <c r="C184" s="91" t="s">
        <v>417</v>
      </c>
      <c r="D184" s="91" t="s">
        <v>247</v>
      </c>
      <c r="E184" s="93">
        <v>38744</v>
      </c>
      <c r="F184" s="94">
        <f t="shared" ca="1" si="8"/>
        <v>10</v>
      </c>
      <c r="G184" s="95"/>
      <c r="H184" s="96">
        <v>56920</v>
      </c>
      <c r="I184" s="97">
        <v>4</v>
      </c>
    </row>
    <row r="185" spans="1:9" ht="13.5" x14ac:dyDescent="0.25">
      <c r="A185" s="91" t="s">
        <v>417</v>
      </c>
      <c r="B185" s="92" t="s">
        <v>271</v>
      </c>
      <c r="C185" s="91" t="s">
        <v>417</v>
      </c>
      <c r="D185" s="91" t="s">
        <v>247</v>
      </c>
      <c r="E185" s="99">
        <v>38926</v>
      </c>
      <c r="F185" s="94">
        <f t="shared" ca="1" si="8"/>
        <v>10</v>
      </c>
      <c r="G185" s="95"/>
      <c r="H185" s="96">
        <v>45830</v>
      </c>
      <c r="I185" s="97">
        <v>4</v>
      </c>
    </row>
    <row r="186" spans="1:9" ht="13.5" x14ac:dyDescent="0.25">
      <c r="A186" s="91" t="s">
        <v>417</v>
      </c>
      <c r="B186" s="92" t="s">
        <v>266</v>
      </c>
      <c r="C186" s="91" t="s">
        <v>417</v>
      </c>
      <c r="D186" s="91" t="s">
        <v>247</v>
      </c>
      <c r="E186" s="93">
        <v>38949</v>
      </c>
      <c r="F186" s="94">
        <f t="shared" ca="1" si="8"/>
        <v>10</v>
      </c>
      <c r="G186" s="95"/>
      <c r="H186" s="96">
        <v>45710</v>
      </c>
      <c r="I186" s="97">
        <v>3</v>
      </c>
    </row>
    <row r="187" spans="1:9" ht="13.5" x14ac:dyDescent="0.25">
      <c r="A187" s="91" t="s">
        <v>417</v>
      </c>
      <c r="B187" s="92" t="s">
        <v>271</v>
      </c>
      <c r="C187" s="91" t="s">
        <v>417</v>
      </c>
      <c r="D187" s="91" t="s">
        <v>256</v>
      </c>
      <c r="E187" s="93">
        <v>39089</v>
      </c>
      <c r="F187" s="94">
        <f t="shared" ca="1" si="8"/>
        <v>9</v>
      </c>
      <c r="G187" s="95" t="s">
        <v>267</v>
      </c>
      <c r="H187" s="96">
        <v>32640</v>
      </c>
      <c r="I187" s="97">
        <v>4</v>
      </c>
    </row>
    <row r="188" spans="1:9" ht="13.5" x14ac:dyDescent="0.25">
      <c r="A188" s="91" t="s">
        <v>417</v>
      </c>
      <c r="B188" s="92" t="s">
        <v>285</v>
      </c>
      <c r="C188" s="91" t="s">
        <v>417</v>
      </c>
      <c r="D188" s="91" t="s">
        <v>256</v>
      </c>
      <c r="E188" s="93">
        <v>39160</v>
      </c>
      <c r="F188" s="94">
        <f t="shared" ca="1" si="8"/>
        <v>9</v>
      </c>
      <c r="G188" s="95" t="s">
        <v>283</v>
      </c>
      <c r="H188" s="96">
        <v>42620</v>
      </c>
      <c r="I188" s="97">
        <v>3</v>
      </c>
    </row>
    <row r="189" spans="1:9" ht="13.5" x14ac:dyDescent="0.25">
      <c r="A189" s="98" t="s">
        <v>1045</v>
      </c>
      <c r="B189" s="92"/>
      <c r="C189" s="98"/>
      <c r="D189" s="91"/>
      <c r="E189" s="93"/>
      <c r="F189" s="94"/>
      <c r="G189" s="95"/>
      <c r="H189" s="96"/>
      <c r="I189" s="97"/>
    </row>
    <row r="190" spans="1:9" ht="13.5" x14ac:dyDescent="0.25">
      <c r="A190" s="91" t="s">
        <v>456</v>
      </c>
      <c r="B190" s="92" t="s">
        <v>271</v>
      </c>
      <c r="C190" s="91" t="s">
        <v>456</v>
      </c>
      <c r="D190" s="91" t="s">
        <v>256</v>
      </c>
      <c r="E190" s="93">
        <v>32075</v>
      </c>
      <c r="F190" s="94">
        <f t="shared" ref="F190:F197" ca="1" si="9">DATEDIF(E190,TODAY(),"Y")</f>
        <v>29</v>
      </c>
      <c r="G190" s="95" t="s">
        <v>257</v>
      </c>
      <c r="H190" s="96">
        <v>89140</v>
      </c>
      <c r="I190" s="97">
        <v>1</v>
      </c>
    </row>
    <row r="191" spans="1:9" ht="13.5" x14ac:dyDescent="0.25">
      <c r="A191" s="91" t="s">
        <v>456</v>
      </c>
      <c r="B191" s="92" t="s">
        <v>271</v>
      </c>
      <c r="C191" s="91" t="s">
        <v>456</v>
      </c>
      <c r="D191" s="91" t="s">
        <v>261</v>
      </c>
      <c r="E191" s="93">
        <v>33091</v>
      </c>
      <c r="F191" s="94">
        <f t="shared" ca="1" si="9"/>
        <v>26</v>
      </c>
      <c r="G191" s="95" t="s">
        <v>267</v>
      </c>
      <c r="H191" s="96">
        <v>89780</v>
      </c>
      <c r="I191" s="97">
        <v>4</v>
      </c>
    </row>
    <row r="192" spans="1:9" ht="13.5" x14ac:dyDescent="0.25">
      <c r="A192" s="91" t="s">
        <v>456</v>
      </c>
      <c r="B192" s="92" t="s">
        <v>271</v>
      </c>
      <c r="C192" s="91" t="s">
        <v>456</v>
      </c>
      <c r="D192" s="91" t="s">
        <v>252</v>
      </c>
      <c r="E192" s="93">
        <v>35209</v>
      </c>
      <c r="F192" s="94">
        <f t="shared" ca="1" si="9"/>
        <v>20</v>
      </c>
      <c r="G192" s="95" t="s">
        <v>283</v>
      </c>
      <c r="H192" s="96">
        <v>61860</v>
      </c>
      <c r="I192" s="97">
        <v>5</v>
      </c>
    </row>
    <row r="193" spans="1:9" ht="13.5" x14ac:dyDescent="0.25">
      <c r="A193" s="91" t="s">
        <v>456</v>
      </c>
      <c r="B193" s="92" t="s">
        <v>280</v>
      </c>
      <c r="C193" s="91" t="s">
        <v>456</v>
      </c>
      <c r="D193" s="91" t="s">
        <v>247</v>
      </c>
      <c r="E193" s="93">
        <v>35363</v>
      </c>
      <c r="F193" s="94">
        <f t="shared" ca="1" si="9"/>
        <v>20</v>
      </c>
      <c r="G193" s="95" t="s">
        <v>283</v>
      </c>
      <c r="H193" s="96">
        <v>69410</v>
      </c>
      <c r="I193" s="97">
        <v>4</v>
      </c>
    </row>
    <row r="194" spans="1:9" ht="13.5" x14ac:dyDescent="0.25">
      <c r="A194" s="91" t="s">
        <v>456</v>
      </c>
      <c r="B194" s="92" t="s">
        <v>280</v>
      </c>
      <c r="C194" s="91" t="s">
        <v>456</v>
      </c>
      <c r="D194" s="91" t="s">
        <v>256</v>
      </c>
      <c r="E194" s="93">
        <v>35733</v>
      </c>
      <c r="F194" s="94">
        <f t="shared" ca="1" si="9"/>
        <v>19</v>
      </c>
      <c r="G194" s="95" t="s">
        <v>262</v>
      </c>
      <c r="H194" s="96">
        <v>45150</v>
      </c>
      <c r="I194" s="97">
        <v>1</v>
      </c>
    </row>
    <row r="195" spans="1:9" ht="13.5" x14ac:dyDescent="0.25">
      <c r="A195" s="91" t="s">
        <v>456</v>
      </c>
      <c r="B195" s="92" t="s">
        <v>285</v>
      </c>
      <c r="C195" s="91" t="s">
        <v>456</v>
      </c>
      <c r="D195" s="91" t="s">
        <v>261</v>
      </c>
      <c r="E195" s="93">
        <v>36195</v>
      </c>
      <c r="F195" s="94">
        <f t="shared" ca="1" si="9"/>
        <v>17</v>
      </c>
      <c r="G195" s="95" t="s">
        <v>276</v>
      </c>
      <c r="H195" s="96">
        <v>51800</v>
      </c>
      <c r="I195" s="97">
        <v>1</v>
      </c>
    </row>
    <row r="196" spans="1:9" ht="13.5" x14ac:dyDescent="0.25">
      <c r="A196" s="91" t="s">
        <v>456</v>
      </c>
      <c r="B196" s="92" t="s">
        <v>285</v>
      </c>
      <c r="C196" s="91" t="s">
        <v>456</v>
      </c>
      <c r="D196" s="91" t="s">
        <v>252</v>
      </c>
      <c r="E196" s="93">
        <v>36636</v>
      </c>
      <c r="F196" s="94">
        <f t="shared" ca="1" si="9"/>
        <v>16</v>
      </c>
      <c r="G196" s="95" t="s">
        <v>257</v>
      </c>
      <c r="H196" s="96">
        <v>85130</v>
      </c>
      <c r="I196" s="97">
        <v>5</v>
      </c>
    </row>
    <row r="197" spans="1:9" ht="13.5" x14ac:dyDescent="0.25">
      <c r="A197" s="91" t="s">
        <v>456</v>
      </c>
      <c r="B197" s="92" t="s">
        <v>251</v>
      </c>
      <c r="C197" s="91" t="s">
        <v>456</v>
      </c>
      <c r="D197" s="91" t="s">
        <v>247</v>
      </c>
      <c r="E197" s="93">
        <v>38953</v>
      </c>
      <c r="F197" s="94">
        <f t="shared" ca="1" si="9"/>
        <v>10</v>
      </c>
      <c r="G197" s="95" t="s">
        <v>267</v>
      </c>
      <c r="H197" s="96">
        <v>71190</v>
      </c>
      <c r="I197" s="97">
        <v>4</v>
      </c>
    </row>
    <row r="198" spans="1:9" ht="13.5" x14ac:dyDescent="0.25">
      <c r="A198" s="98" t="s">
        <v>1046</v>
      </c>
      <c r="B198" s="92"/>
      <c r="C198" s="98"/>
      <c r="D198" s="91"/>
      <c r="E198" s="93"/>
      <c r="F198" s="94"/>
      <c r="G198" s="95"/>
      <c r="H198" s="96"/>
      <c r="I198" s="97"/>
    </row>
    <row r="199" spans="1:9" ht="13.5" x14ac:dyDescent="0.25">
      <c r="A199" s="91" t="s">
        <v>465</v>
      </c>
      <c r="B199" s="92" t="s">
        <v>285</v>
      </c>
      <c r="C199" s="91" t="s">
        <v>465</v>
      </c>
      <c r="D199" s="91" t="s">
        <v>256</v>
      </c>
      <c r="E199" s="93">
        <v>32303</v>
      </c>
      <c r="F199" s="94">
        <f t="shared" ref="F199:F262" ca="1" si="10">DATEDIF(E199,TODAY(),"Y")</f>
        <v>28</v>
      </c>
      <c r="G199" s="95" t="s">
        <v>586</v>
      </c>
      <c r="H199" s="96">
        <v>56900</v>
      </c>
      <c r="I199" s="97">
        <v>5</v>
      </c>
    </row>
    <row r="200" spans="1:9" ht="13.5" x14ac:dyDescent="0.25">
      <c r="A200" s="91" t="s">
        <v>465</v>
      </c>
      <c r="B200" s="92" t="s">
        <v>271</v>
      </c>
      <c r="C200" s="91" t="s">
        <v>465</v>
      </c>
      <c r="D200" s="91" t="s">
        <v>256</v>
      </c>
      <c r="E200" s="93">
        <v>32321</v>
      </c>
      <c r="F200" s="94">
        <f t="shared" ca="1" si="10"/>
        <v>28</v>
      </c>
      <c r="G200" s="95" t="s">
        <v>257</v>
      </c>
      <c r="H200" s="96">
        <v>52940</v>
      </c>
      <c r="I200" s="97">
        <v>4</v>
      </c>
    </row>
    <row r="201" spans="1:9" ht="13.5" x14ac:dyDescent="0.25">
      <c r="A201" s="91" t="s">
        <v>465</v>
      </c>
      <c r="B201" s="92" t="s">
        <v>271</v>
      </c>
      <c r="C201" s="91" t="s">
        <v>465</v>
      </c>
      <c r="D201" s="91" t="s">
        <v>256</v>
      </c>
      <c r="E201" s="93">
        <v>32338</v>
      </c>
      <c r="F201" s="94">
        <f t="shared" ca="1" si="10"/>
        <v>28</v>
      </c>
      <c r="G201" s="95" t="s">
        <v>276</v>
      </c>
      <c r="H201" s="96">
        <v>60380</v>
      </c>
      <c r="I201" s="97">
        <v>4</v>
      </c>
    </row>
    <row r="202" spans="1:9" ht="13.5" x14ac:dyDescent="0.25">
      <c r="A202" s="91" t="s">
        <v>465</v>
      </c>
      <c r="B202" s="92" t="s">
        <v>245</v>
      </c>
      <c r="C202" s="91" t="s">
        <v>465</v>
      </c>
      <c r="D202" s="91" t="s">
        <v>256</v>
      </c>
      <c r="E202" s="93">
        <v>32410</v>
      </c>
      <c r="F202" s="94">
        <f t="shared" ca="1" si="10"/>
        <v>28</v>
      </c>
      <c r="G202" s="95" t="s">
        <v>283</v>
      </c>
      <c r="H202" s="96">
        <v>58910</v>
      </c>
      <c r="I202" s="97">
        <v>1</v>
      </c>
    </row>
    <row r="203" spans="1:9" ht="13.5" x14ac:dyDescent="0.25">
      <c r="A203" s="91" t="s">
        <v>465</v>
      </c>
      <c r="B203" s="92" t="s">
        <v>271</v>
      </c>
      <c r="C203" s="91" t="s">
        <v>465</v>
      </c>
      <c r="D203" s="91" t="s">
        <v>256</v>
      </c>
      <c r="E203" s="93">
        <v>32411</v>
      </c>
      <c r="F203" s="94">
        <f t="shared" ca="1" si="10"/>
        <v>28</v>
      </c>
      <c r="G203" s="95" t="s">
        <v>283</v>
      </c>
      <c r="H203" s="96">
        <v>26190</v>
      </c>
      <c r="I203" s="97">
        <v>5</v>
      </c>
    </row>
    <row r="204" spans="1:9" ht="13.5" x14ac:dyDescent="0.25">
      <c r="A204" s="91" t="s">
        <v>465</v>
      </c>
      <c r="B204" s="92" t="s">
        <v>280</v>
      </c>
      <c r="C204" s="91" t="s">
        <v>465</v>
      </c>
      <c r="D204" s="91" t="s">
        <v>252</v>
      </c>
      <c r="E204" s="93">
        <v>32441</v>
      </c>
      <c r="F204" s="94">
        <f t="shared" ca="1" si="10"/>
        <v>28</v>
      </c>
      <c r="G204" s="95"/>
      <c r="H204" s="96">
        <v>22344</v>
      </c>
      <c r="I204" s="97">
        <v>4</v>
      </c>
    </row>
    <row r="205" spans="1:9" ht="13.5" x14ac:dyDescent="0.25">
      <c r="A205" s="91" t="s">
        <v>465</v>
      </c>
      <c r="B205" s="92" t="s">
        <v>285</v>
      </c>
      <c r="C205" s="91" t="s">
        <v>465</v>
      </c>
      <c r="D205" s="91" t="s">
        <v>247</v>
      </c>
      <c r="E205" s="93">
        <v>32464</v>
      </c>
      <c r="F205" s="94">
        <f t="shared" ca="1" si="10"/>
        <v>27</v>
      </c>
      <c r="G205" s="95"/>
      <c r="H205" s="96">
        <v>32190</v>
      </c>
      <c r="I205" s="97">
        <v>3</v>
      </c>
    </row>
    <row r="206" spans="1:9" ht="13.5" x14ac:dyDescent="0.25">
      <c r="A206" s="91" t="s">
        <v>465</v>
      </c>
      <c r="B206" s="92" t="s">
        <v>271</v>
      </c>
      <c r="C206" s="91" t="s">
        <v>465</v>
      </c>
      <c r="D206" s="91" t="s">
        <v>247</v>
      </c>
      <c r="E206" s="93">
        <v>32509</v>
      </c>
      <c r="F206" s="94">
        <f t="shared" ca="1" si="10"/>
        <v>27</v>
      </c>
      <c r="G206" s="95"/>
      <c r="H206" s="96">
        <v>49530</v>
      </c>
      <c r="I206" s="97">
        <v>2</v>
      </c>
    </row>
    <row r="207" spans="1:9" ht="13.5" x14ac:dyDescent="0.25">
      <c r="A207" s="91" t="s">
        <v>465</v>
      </c>
      <c r="B207" s="92" t="s">
        <v>271</v>
      </c>
      <c r="C207" s="91" t="s">
        <v>465</v>
      </c>
      <c r="D207" s="91" t="s">
        <v>247</v>
      </c>
      <c r="E207" s="93">
        <v>32669</v>
      </c>
      <c r="F207" s="94">
        <f t="shared" ca="1" si="10"/>
        <v>27</v>
      </c>
      <c r="G207" s="95"/>
      <c r="H207" s="96">
        <v>73990</v>
      </c>
      <c r="I207" s="97">
        <v>3</v>
      </c>
    </row>
    <row r="208" spans="1:9" ht="13.5" x14ac:dyDescent="0.25">
      <c r="A208" s="91" t="s">
        <v>465</v>
      </c>
      <c r="B208" s="92" t="s">
        <v>271</v>
      </c>
      <c r="C208" s="91" t="s">
        <v>465</v>
      </c>
      <c r="D208" s="91" t="s">
        <v>256</v>
      </c>
      <c r="E208" s="93">
        <v>32683</v>
      </c>
      <c r="F208" s="94">
        <f t="shared" ca="1" si="10"/>
        <v>27</v>
      </c>
      <c r="G208" s="95" t="s">
        <v>283</v>
      </c>
      <c r="H208" s="96">
        <v>45500</v>
      </c>
      <c r="I208" s="97">
        <v>3</v>
      </c>
    </row>
    <row r="209" spans="1:9" ht="13.5" x14ac:dyDescent="0.25">
      <c r="A209" s="91" t="s">
        <v>465</v>
      </c>
      <c r="B209" s="92" t="s">
        <v>251</v>
      </c>
      <c r="C209" s="91" t="s">
        <v>465</v>
      </c>
      <c r="D209" s="91" t="s">
        <v>247</v>
      </c>
      <c r="E209" s="93">
        <v>32721</v>
      </c>
      <c r="F209" s="94">
        <f t="shared" ca="1" si="10"/>
        <v>27</v>
      </c>
      <c r="G209" s="95"/>
      <c r="H209" s="96">
        <v>64430</v>
      </c>
      <c r="I209" s="97">
        <v>4</v>
      </c>
    </row>
    <row r="210" spans="1:9" ht="13.5" x14ac:dyDescent="0.25">
      <c r="A210" s="91" t="s">
        <v>465</v>
      </c>
      <c r="B210" s="92" t="s">
        <v>245</v>
      </c>
      <c r="C210" s="91" t="s">
        <v>465</v>
      </c>
      <c r="D210" s="91" t="s">
        <v>247</v>
      </c>
      <c r="E210" s="93">
        <v>32743</v>
      </c>
      <c r="F210" s="94">
        <f t="shared" ca="1" si="10"/>
        <v>27</v>
      </c>
      <c r="G210" s="95"/>
      <c r="H210" s="96">
        <v>79220</v>
      </c>
      <c r="I210" s="97">
        <v>4</v>
      </c>
    </row>
    <row r="211" spans="1:9" ht="13.5" x14ac:dyDescent="0.25">
      <c r="A211" s="91" t="s">
        <v>465</v>
      </c>
      <c r="B211" s="92" t="s">
        <v>280</v>
      </c>
      <c r="C211" s="91" t="s">
        <v>465</v>
      </c>
      <c r="D211" s="91" t="s">
        <v>256</v>
      </c>
      <c r="E211" s="93">
        <v>32758</v>
      </c>
      <c r="F211" s="94">
        <f t="shared" ca="1" si="10"/>
        <v>27</v>
      </c>
      <c r="G211" s="95" t="s">
        <v>283</v>
      </c>
      <c r="H211" s="96">
        <v>23330</v>
      </c>
      <c r="I211" s="97">
        <v>4</v>
      </c>
    </row>
    <row r="212" spans="1:9" ht="13.5" x14ac:dyDescent="0.25">
      <c r="A212" s="91" t="s">
        <v>465</v>
      </c>
      <c r="B212" s="92" t="s">
        <v>271</v>
      </c>
      <c r="C212" s="91" t="s">
        <v>465</v>
      </c>
      <c r="D212" s="91" t="s">
        <v>247</v>
      </c>
      <c r="E212" s="93">
        <v>32839</v>
      </c>
      <c r="F212" s="94">
        <f t="shared" ca="1" si="10"/>
        <v>26</v>
      </c>
      <c r="G212" s="95"/>
      <c r="H212" s="96">
        <v>45770</v>
      </c>
      <c r="I212" s="97">
        <v>5</v>
      </c>
    </row>
    <row r="213" spans="1:9" ht="13.5" x14ac:dyDescent="0.25">
      <c r="A213" s="91" t="s">
        <v>465</v>
      </c>
      <c r="B213" s="92" t="s">
        <v>271</v>
      </c>
      <c r="C213" s="91" t="s">
        <v>465</v>
      </c>
      <c r="D213" s="91" t="s">
        <v>256</v>
      </c>
      <c r="E213" s="93">
        <v>32841</v>
      </c>
      <c r="F213" s="94">
        <f t="shared" ca="1" si="10"/>
        <v>26</v>
      </c>
      <c r="G213" s="95" t="s">
        <v>283</v>
      </c>
      <c r="H213" s="96">
        <v>81980</v>
      </c>
      <c r="I213" s="97">
        <v>2</v>
      </c>
    </row>
    <row r="214" spans="1:9" ht="13.5" x14ac:dyDescent="0.25">
      <c r="A214" s="91" t="s">
        <v>465</v>
      </c>
      <c r="B214" s="92" t="s">
        <v>245</v>
      </c>
      <c r="C214" s="91" t="s">
        <v>465</v>
      </c>
      <c r="D214" s="91" t="s">
        <v>261</v>
      </c>
      <c r="E214" s="93">
        <v>32853</v>
      </c>
      <c r="F214" s="94">
        <f t="shared" ca="1" si="10"/>
        <v>26</v>
      </c>
      <c r="G214" s="95" t="s">
        <v>262</v>
      </c>
      <c r="H214" s="96">
        <v>18895</v>
      </c>
      <c r="I214" s="97">
        <v>4</v>
      </c>
    </row>
    <row r="215" spans="1:9" ht="13.5" x14ac:dyDescent="0.25">
      <c r="A215" s="91" t="s">
        <v>465</v>
      </c>
      <c r="B215" s="92" t="s">
        <v>280</v>
      </c>
      <c r="C215" s="91" t="s">
        <v>465</v>
      </c>
      <c r="D215" s="91" t="s">
        <v>252</v>
      </c>
      <c r="E215" s="93">
        <v>32855</v>
      </c>
      <c r="F215" s="94">
        <f t="shared" ca="1" si="10"/>
        <v>26</v>
      </c>
      <c r="G215" s="95"/>
      <c r="H215" s="96">
        <v>30416</v>
      </c>
      <c r="I215" s="97">
        <v>1</v>
      </c>
    </row>
    <row r="216" spans="1:9" ht="13.5" x14ac:dyDescent="0.25">
      <c r="A216" s="91" t="s">
        <v>465</v>
      </c>
      <c r="B216" s="92" t="s">
        <v>280</v>
      </c>
      <c r="C216" s="91" t="s">
        <v>465</v>
      </c>
      <c r="D216" s="91" t="s">
        <v>247</v>
      </c>
      <c r="E216" s="93">
        <v>32955</v>
      </c>
      <c r="F216" s="94">
        <f t="shared" ca="1" si="10"/>
        <v>26</v>
      </c>
      <c r="G216" s="95"/>
      <c r="H216" s="96">
        <v>35460</v>
      </c>
      <c r="I216" s="97">
        <v>3</v>
      </c>
    </row>
    <row r="217" spans="1:9" ht="13.5" x14ac:dyDescent="0.25">
      <c r="A217" s="91" t="s">
        <v>465</v>
      </c>
      <c r="B217" s="92" t="s">
        <v>271</v>
      </c>
      <c r="C217" s="91" t="s">
        <v>465</v>
      </c>
      <c r="D217" s="91" t="s">
        <v>256</v>
      </c>
      <c r="E217" s="93">
        <v>33094</v>
      </c>
      <c r="F217" s="94">
        <f t="shared" ca="1" si="10"/>
        <v>26</v>
      </c>
      <c r="G217" s="95" t="s">
        <v>283</v>
      </c>
      <c r="H217" s="96">
        <v>24710</v>
      </c>
      <c r="I217" s="97">
        <v>2</v>
      </c>
    </row>
    <row r="218" spans="1:9" ht="13.5" x14ac:dyDescent="0.25">
      <c r="A218" s="91" t="s">
        <v>465</v>
      </c>
      <c r="B218" s="92" t="s">
        <v>271</v>
      </c>
      <c r="C218" s="91" t="s">
        <v>465</v>
      </c>
      <c r="D218" s="91" t="s">
        <v>247</v>
      </c>
      <c r="E218" s="93">
        <v>33115</v>
      </c>
      <c r="F218" s="94">
        <f t="shared" ca="1" si="10"/>
        <v>26</v>
      </c>
      <c r="G218" s="95"/>
      <c r="H218" s="96">
        <v>63310</v>
      </c>
      <c r="I218" s="97">
        <v>3</v>
      </c>
    </row>
    <row r="219" spans="1:9" ht="13.5" x14ac:dyDescent="0.25">
      <c r="A219" s="91" t="s">
        <v>465</v>
      </c>
      <c r="B219" s="92" t="s">
        <v>251</v>
      </c>
      <c r="C219" s="91" t="s">
        <v>465</v>
      </c>
      <c r="D219" s="91" t="s">
        <v>256</v>
      </c>
      <c r="E219" s="93">
        <v>33173</v>
      </c>
      <c r="F219" s="94">
        <f t="shared" ca="1" si="10"/>
        <v>26</v>
      </c>
      <c r="G219" s="95" t="s">
        <v>257</v>
      </c>
      <c r="H219" s="96">
        <v>81010</v>
      </c>
      <c r="I219" s="97">
        <v>4</v>
      </c>
    </row>
    <row r="220" spans="1:9" ht="13.5" x14ac:dyDescent="0.25">
      <c r="A220" s="91" t="s">
        <v>465</v>
      </c>
      <c r="B220" s="92" t="s">
        <v>245</v>
      </c>
      <c r="C220" s="91" t="s">
        <v>465</v>
      </c>
      <c r="D220" s="91" t="s">
        <v>256</v>
      </c>
      <c r="E220" s="93">
        <v>33231</v>
      </c>
      <c r="F220" s="94">
        <f t="shared" ca="1" si="10"/>
        <v>25</v>
      </c>
      <c r="G220" s="95" t="s">
        <v>276</v>
      </c>
      <c r="H220" s="96">
        <v>34480</v>
      </c>
      <c r="I220" s="97">
        <v>3</v>
      </c>
    </row>
    <row r="221" spans="1:9" ht="13.5" x14ac:dyDescent="0.25">
      <c r="A221" s="91" t="s">
        <v>465</v>
      </c>
      <c r="B221" s="92" t="s">
        <v>251</v>
      </c>
      <c r="C221" s="91" t="s">
        <v>465</v>
      </c>
      <c r="D221" s="91" t="s">
        <v>261</v>
      </c>
      <c r="E221" s="93">
        <v>33273</v>
      </c>
      <c r="F221" s="94">
        <f t="shared" ca="1" si="10"/>
        <v>25</v>
      </c>
      <c r="G221" s="95" t="s">
        <v>262</v>
      </c>
      <c r="H221" s="96">
        <v>15260</v>
      </c>
      <c r="I221" s="97">
        <v>2</v>
      </c>
    </row>
    <row r="222" spans="1:9" ht="13.5" x14ac:dyDescent="0.25">
      <c r="A222" s="91" t="s">
        <v>465</v>
      </c>
      <c r="B222" s="92" t="s">
        <v>266</v>
      </c>
      <c r="C222" s="91" t="s">
        <v>465</v>
      </c>
      <c r="D222" s="91" t="s">
        <v>247</v>
      </c>
      <c r="E222" s="93">
        <v>33361</v>
      </c>
      <c r="F222" s="94">
        <f t="shared" ca="1" si="10"/>
        <v>25</v>
      </c>
      <c r="G222" s="95"/>
      <c r="H222" s="96">
        <v>80690</v>
      </c>
      <c r="I222" s="97">
        <v>3</v>
      </c>
    </row>
    <row r="223" spans="1:9" ht="13.5" x14ac:dyDescent="0.25">
      <c r="A223" s="91" t="s">
        <v>465</v>
      </c>
      <c r="B223" s="92" t="s">
        <v>251</v>
      </c>
      <c r="C223" s="91" t="s">
        <v>465</v>
      </c>
      <c r="D223" s="91" t="s">
        <v>256</v>
      </c>
      <c r="E223" s="93">
        <v>33475</v>
      </c>
      <c r="F223" s="94">
        <f t="shared" ca="1" si="10"/>
        <v>25</v>
      </c>
      <c r="G223" s="95" t="s">
        <v>257</v>
      </c>
      <c r="H223" s="96">
        <v>24300</v>
      </c>
      <c r="I223" s="97">
        <v>3</v>
      </c>
    </row>
    <row r="224" spans="1:9" ht="13.5" x14ac:dyDescent="0.25">
      <c r="A224" s="91" t="s">
        <v>465</v>
      </c>
      <c r="B224" s="92" t="s">
        <v>285</v>
      </c>
      <c r="C224" s="91" t="s">
        <v>465</v>
      </c>
      <c r="D224" s="91" t="s">
        <v>256</v>
      </c>
      <c r="E224" s="93">
        <v>33571</v>
      </c>
      <c r="F224" s="94">
        <f t="shared" ca="1" si="10"/>
        <v>24</v>
      </c>
      <c r="G224" s="95" t="s">
        <v>262</v>
      </c>
      <c r="H224" s="96">
        <v>63070</v>
      </c>
      <c r="I224" s="97">
        <v>1</v>
      </c>
    </row>
    <row r="225" spans="1:9" ht="13.5" x14ac:dyDescent="0.25">
      <c r="A225" s="91" t="s">
        <v>465</v>
      </c>
      <c r="B225" s="92" t="s">
        <v>285</v>
      </c>
      <c r="C225" s="91" t="s">
        <v>465</v>
      </c>
      <c r="D225" s="91" t="s">
        <v>256</v>
      </c>
      <c r="E225" s="93">
        <v>33661</v>
      </c>
      <c r="F225" s="94">
        <f t="shared" ca="1" si="10"/>
        <v>24</v>
      </c>
      <c r="G225" s="95" t="s">
        <v>283</v>
      </c>
      <c r="H225" s="96">
        <v>67050</v>
      </c>
      <c r="I225" s="97">
        <v>4</v>
      </c>
    </row>
    <row r="226" spans="1:9" ht="13.5" x14ac:dyDescent="0.25">
      <c r="A226" s="91" t="s">
        <v>465</v>
      </c>
      <c r="B226" s="92" t="s">
        <v>245</v>
      </c>
      <c r="C226" s="91" t="s">
        <v>465</v>
      </c>
      <c r="D226" s="91" t="s">
        <v>256</v>
      </c>
      <c r="E226" s="93">
        <v>33710</v>
      </c>
      <c r="F226" s="94">
        <f t="shared" ca="1" si="10"/>
        <v>24</v>
      </c>
      <c r="G226" s="95" t="s">
        <v>262</v>
      </c>
      <c r="H226" s="96">
        <v>38940</v>
      </c>
      <c r="I226" s="97">
        <v>2</v>
      </c>
    </row>
    <row r="227" spans="1:9" ht="13.5" x14ac:dyDescent="0.25">
      <c r="A227" s="91" t="s">
        <v>465</v>
      </c>
      <c r="B227" s="92" t="s">
        <v>285</v>
      </c>
      <c r="C227" s="91" t="s">
        <v>465</v>
      </c>
      <c r="D227" s="91" t="s">
        <v>256</v>
      </c>
      <c r="E227" s="93">
        <v>33714</v>
      </c>
      <c r="F227" s="94">
        <f t="shared" ca="1" si="10"/>
        <v>24</v>
      </c>
      <c r="G227" s="95" t="s">
        <v>283</v>
      </c>
      <c r="H227" s="96">
        <v>73072</v>
      </c>
      <c r="I227" s="97">
        <v>5</v>
      </c>
    </row>
    <row r="228" spans="1:9" ht="13.5" x14ac:dyDescent="0.25">
      <c r="A228" s="91" t="s">
        <v>465</v>
      </c>
      <c r="B228" s="92" t="s">
        <v>271</v>
      </c>
      <c r="C228" s="91" t="s">
        <v>465</v>
      </c>
      <c r="D228" s="91" t="s">
        <v>256</v>
      </c>
      <c r="E228" s="93">
        <v>33846</v>
      </c>
      <c r="F228" s="94">
        <f t="shared" ca="1" si="10"/>
        <v>24</v>
      </c>
      <c r="G228" s="95" t="s">
        <v>283</v>
      </c>
      <c r="H228" s="96">
        <v>86260</v>
      </c>
      <c r="I228" s="97">
        <v>3</v>
      </c>
    </row>
    <row r="229" spans="1:9" ht="13.5" x14ac:dyDescent="0.25">
      <c r="A229" s="91" t="s">
        <v>465</v>
      </c>
      <c r="B229" s="92" t="s">
        <v>285</v>
      </c>
      <c r="C229" s="91" t="s">
        <v>465</v>
      </c>
      <c r="D229" s="91" t="s">
        <v>247</v>
      </c>
      <c r="E229" s="93">
        <v>33875</v>
      </c>
      <c r="F229" s="94">
        <f t="shared" ca="1" si="10"/>
        <v>24</v>
      </c>
      <c r="G229" s="95"/>
      <c r="H229" s="96">
        <v>24410</v>
      </c>
      <c r="I229" s="97">
        <v>3</v>
      </c>
    </row>
    <row r="230" spans="1:9" ht="13.5" x14ac:dyDescent="0.25">
      <c r="A230" s="91" t="s">
        <v>465</v>
      </c>
      <c r="B230" s="92" t="s">
        <v>271</v>
      </c>
      <c r="C230" s="91" t="s">
        <v>465</v>
      </c>
      <c r="D230" s="91" t="s">
        <v>256</v>
      </c>
      <c r="E230" s="93">
        <v>33878</v>
      </c>
      <c r="F230" s="94">
        <f t="shared" ca="1" si="10"/>
        <v>24</v>
      </c>
      <c r="G230" s="95" t="s">
        <v>283</v>
      </c>
      <c r="H230" s="96">
        <v>44270</v>
      </c>
      <c r="I230" s="97">
        <v>2</v>
      </c>
    </row>
    <row r="231" spans="1:9" ht="13.5" x14ac:dyDescent="0.25">
      <c r="A231" s="91" t="s">
        <v>465</v>
      </c>
      <c r="B231" s="92" t="s">
        <v>285</v>
      </c>
      <c r="C231" s="91" t="s">
        <v>465</v>
      </c>
      <c r="D231" s="91" t="s">
        <v>261</v>
      </c>
      <c r="E231" s="93">
        <v>33879</v>
      </c>
      <c r="F231" s="94">
        <f t="shared" ca="1" si="10"/>
        <v>24</v>
      </c>
      <c r="G231" s="95" t="s">
        <v>257</v>
      </c>
      <c r="H231" s="96">
        <v>46285</v>
      </c>
      <c r="I231" s="97">
        <v>5</v>
      </c>
    </row>
    <row r="232" spans="1:9" ht="13.5" x14ac:dyDescent="0.25">
      <c r="A232" s="91" t="s">
        <v>465</v>
      </c>
      <c r="B232" s="92" t="s">
        <v>285</v>
      </c>
      <c r="C232" s="91" t="s">
        <v>465</v>
      </c>
      <c r="D232" s="91" t="s">
        <v>256</v>
      </c>
      <c r="E232" s="93">
        <v>33889</v>
      </c>
      <c r="F232" s="94">
        <f t="shared" ca="1" si="10"/>
        <v>24</v>
      </c>
      <c r="G232" s="95" t="s">
        <v>257</v>
      </c>
      <c r="H232" s="96">
        <v>73450</v>
      </c>
      <c r="I232" s="97">
        <v>3</v>
      </c>
    </row>
    <row r="233" spans="1:9" ht="13.5" x14ac:dyDescent="0.25">
      <c r="A233" s="91" t="s">
        <v>465</v>
      </c>
      <c r="B233" s="92" t="s">
        <v>251</v>
      </c>
      <c r="C233" s="91" t="s">
        <v>465</v>
      </c>
      <c r="D233" s="91" t="s">
        <v>256</v>
      </c>
      <c r="E233" s="93">
        <v>34001</v>
      </c>
      <c r="F233" s="94">
        <f t="shared" ca="1" si="10"/>
        <v>23</v>
      </c>
      <c r="G233" s="95" t="s">
        <v>267</v>
      </c>
      <c r="H233" s="96">
        <v>39520</v>
      </c>
      <c r="I233" s="97">
        <v>5</v>
      </c>
    </row>
    <row r="234" spans="1:9" ht="13.5" x14ac:dyDescent="0.25">
      <c r="A234" s="91" t="s">
        <v>465</v>
      </c>
      <c r="B234" s="92" t="s">
        <v>251</v>
      </c>
      <c r="C234" s="91" t="s">
        <v>465</v>
      </c>
      <c r="D234" s="91" t="s">
        <v>261</v>
      </c>
      <c r="E234" s="93">
        <v>34033</v>
      </c>
      <c r="F234" s="94">
        <f t="shared" ca="1" si="10"/>
        <v>23</v>
      </c>
      <c r="G234" s="95" t="s">
        <v>257</v>
      </c>
      <c r="H234" s="96">
        <v>46645</v>
      </c>
      <c r="I234" s="97">
        <v>5</v>
      </c>
    </row>
    <row r="235" spans="1:9" ht="13.5" x14ac:dyDescent="0.25">
      <c r="A235" s="91" t="s">
        <v>465</v>
      </c>
      <c r="B235" s="92" t="s">
        <v>271</v>
      </c>
      <c r="C235" s="91" t="s">
        <v>465</v>
      </c>
      <c r="D235" s="91" t="s">
        <v>247</v>
      </c>
      <c r="E235" s="93">
        <v>34039</v>
      </c>
      <c r="F235" s="94">
        <f t="shared" ca="1" si="10"/>
        <v>23</v>
      </c>
      <c r="G235" s="95"/>
      <c r="H235" s="96">
        <v>52940</v>
      </c>
      <c r="I235" s="97">
        <v>4</v>
      </c>
    </row>
    <row r="236" spans="1:9" ht="13.5" x14ac:dyDescent="0.25">
      <c r="A236" s="91" t="s">
        <v>465</v>
      </c>
      <c r="B236" s="92" t="s">
        <v>271</v>
      </c>
      <c r="C236" s="91" t="s">
        <v>465</v>
      </c>
      <c r="D236" s="91" t="s">
        <v>256</v>
      </c>
      <c r="E236" s="93">
        <v>34046</v>
      </c>
      <c r="F236" s="94">
        <f t="shared" ca="1" si="10"/>
        <v>23</v>
      </c>
      <c r="G236" s="95" t="s">
        <v>262</v>
      </c>
      <c r="H236" s="96">
        <v>45480</v>
      </c>
      <c r="I236" s="97">
        <v>4</v>
      </c>
    </row>
    <row r="237" spans="1:9" ht="13.5" x14ac:dyDescent="0.25">
      <c r="A237" s="91" t="s">
        <v>465</v>
      </c>
      <c r="B237" s="92" t="s">
        <v>266</v>
      </c>
      <c r="C237" s="91" t="s">
        <v>465</v>
      </c>
      <c r="D237" s="91" t="s">
        <v>247</v>
      </c>
      <c r="E237" s="93">
        <v>34050</v>
      </c>
      <c r="F237" s="94">
        <f t="shared" ca="1" si="10"/>
        <v>23</v>
      </c>
      <c r="G237" s="95"/>
      <c r="H237" s="96">
        <v>28260</v>
      </c>
      <c r="I237" s="97">
        <v>5</v>
      </c>
    </row>
    <row r="238" spans="1:9" ht="13.5" x14ac:dyDescent="0.25">
      <c r="A238" s="91" t="s">
        <v>465</v>
      </c>
      <c r="B238" s="92" t="s">
        <v>266</v>
      </c>
      <c r="C238" s="91" t="s">
        <v>465</v>
      </c>
      <c r="D238" s="91" t="s">
        <v>256</v>
      </c>
      <c r="E238" s="93">
        <v>34051</v>
      </c>
      <c r="F238" s="94">
        <f t="shared" ca="1" si="10"/>
        <v>23</v>
      </c>
      <c r="G238" s="95" t="s">
        <v>257</v>
      </c>
      <c r="H238" s="96">
        <v>59320</v>
      </c>
      <c r="I238" s="97">
        <v>4</v>
      </c>
    </row>
    <row r="239" spans="1:9" ht="13.5" x14ac:dyDescent="0.25">
      <c r="A239" s="91" t="s">
        <v>465</v>
      </c>
      <c r="B239" s="92" t="s">
        <v>271</v>
      </c>
      <c r="C239" s="91" t="s">
        <v>465</v>
      </c>
      <c r="D239" s="91" t="s">
        <v>247</v>
      </c>
      <c r="E239" s="93">
        <v>34069</v>
      </c>
      <c r="F239" s="94">
        <f t="shared" ca="1" si="10"/>
        <v>23</v>
      </c>
      <c r="G239" s="95"/>
      <c r="H239" s="96">
        <v>66010</v>
      </c>
      <c r="I239" s="97">
        <v>2</v>
      </c>
    </row>
    <row r="240" spans="1:9" ht="13.5" x14ac:dyDescent="0.25">
      <c r="A240" s="91" t="s">
        <v>465</v>
      </c>
      <c r="B240" s="92" t="s">
        <v>271</v>
      </c>
      <c r="C240" s="91" t="s">
        <v>465</v>
      </c>
      <c r="D240" s="91" t="s">
        <v>247</v>
      </c>
      <c r="E240" s="93">
        <v>34141</v>
      </c>
      <c r="F240" s="94">
        <f t="shared" ca="1" si="10"/>
        <v>23</v>
      </c>
      <c r="G240" s="95"/>
      <c r="H240" s="96">
        <v>42150</v>
      </c>
      <c r="I240" s="97">
        <v>5</v>
      </c>
    </row>
    <row r="241" spans="1:9" ht="13.5" x14ac:dyDescent="0.25">
      <c r="A241" s="91" t="s">
        <v>465</v>
      </c>
      <c r="B241" s="92" t="s">
        <v>245</v>
      </c>
      <c r="C241" s="91" t="s">
        <v>465</v>
      </c>
      <c r="D241" s="91" t="s">
        <v>252</v>
      </c>
      <c r="E241" s="93">
        <v>34180</v>
      </c>
      <c r="F241" s="94">
        <f t="shared" ca="1" si="10"/>
        <v>23</v>
      </c>
      <c r="G241" s="95"/>
      <c r="H241" s="96">
        <v>22472</v>
      </c>
      <c r="I241" s="97">
        <v>1</v>
      </c>
    </row>
    <row r="242" spans="1:9" ht="13.5" x14ac:dyDescent="0.25">
      <c r="A242" s="91" t="s">
        <v>465</v>
      </c>
      <c r="B242" s="92" t="s">
        <v>245</v>
      </c>
      <c r="C242" s="91" t="s">
        <v>465</v>
      </c>
      <c r="D242" s="91" t="s">
        <v>256</v>
      </c>
      <c r="E242" s="93">
        <v>34201</v>
      </c>
      <c r="F242" s="94">
        <f t="shared" ca="1" si="10"/>
        <v>23</v>
      </c>
      <c r="G242" s="95" t="s">
        <v>283</v>
      </c>
      <c r="H242" s="96">
        <v>73144</v>
      </c>
      <c r="I242" s="97">
        <v>5</v>
      </c>
    </row>
    <row r="243" spans="1:9" ht="13.5" x14ac:dyDescent="0.25">
      <c r="A243" s="91" t="s">
        <v>465</v>
      </c>
      <c r="B243" s="92" t="s">
        <v>271</v>
      </c>
      <c r="C243" s="91" t="s">
        <v>465</v>
      </c>
      <c r="D243" s="91" t="s">
        <v>256</v>
      </c>
      <c r="E243" s="93">
        <v>34210</v>
      </c>
      <c r="F243" s="94">
        <f t="shared" ca="1" si="10"/>
        <v>23</v>
      </c>
      <c r="G243" s="95" t="s">
        <v>257</v>
      </c>
      <c r="H243" s="96">
        <v>79730</v>
      </c>
      <c r="I243" s="97">
        <v>2</v>
      </c>
    </row>
    <row r="244" spans="1:9" ht="13.5" x14ac:dyDescent="0.25">
      <c r="A244" s="91" t="s">
        <v>465</v>
      </c>
      <c r="B244" s="92" t="s">
        <v>285</v>
      </c>
      <c r="C244" s="91" t="s">
        <v>465</v>
      </c>
      <c r="D244" s="91" t="s">
        <v>256</v>
      </c>
      <c r="E244" s="93">
        <v>34216</v>
      </c>
      <c r="F244" s="94">
        <f t="shared" ca="1" si="10"/>
        <v>23</v>
      </c>
      <c r="G244" s="95" t="s">
        <v>283</v>
      </c>
      <c r="H244" s="96">
        <v>32390</v>
      </c>
      <c r="I244" s="97">
        <v>2</v>
      </c>
    </row>
    <row r="245" spans="1:9" ht="13.5" x14ac:dyDescent="0.25">
      <c r="A245" s="91" t="s">
        <v>465</v>
      </c>
      <c r="B245" s="92" t="s">
        <v>280</v>
      </c>
      <c r="C245" s="91" t="s">
        <v>465</v>
      </c>
      <c r="D245" s="91" t="s">
        <v>256</v>
      </c>
      <c r="E245" s="93">
        <v>34219</v>
      </c>
      <c r="F245" s="94">
        <f t="shared" ca="1" si="10"/>
        <v>23</v>
      </c>
      <c r="G245" s="95" t="s">
        <v>267</v>
      </c>
      <c r="H245" s="96">
        <v>44920</v>
      </c>
      <c r="I245" s="97">
        <v>1</v>
      </c>
    </row>
    <row r="246" spans="1:9" ht="13.5" x14ac:dyDescent="0.25">
      <c r="A246" s="91" t="s">
        <v>465</v>
      </c>
      <c r="B246" s="92" t="s">
        <v>271</v>
      </c>
      <c r="C246" s="91" t="s">
        <v>465</v>
      </c>
      <c r="D246" s="91" t="s">
        <v>256</v>
      </c>
      <c r="E246" s="93">
        <v>34279</v>
      </c>
      <c r="F246" s="94">
        <f t="shared" ca="1" si="10"/>
        <v>23</v>
      </c>
      <c r="G246" s="95" t="s">
        <v>257</v>
      </c>
      <c r="H246" s="96">
        <v>60280</v>
      </c>
      <c r="I246" s="97">
        <v>1</v>
      </c>
    </row>
    <row r="247" spans="1:9" ht="13.5" x14ac:dyDescent="0.25">
      <c r="A247" s="91" t="s">
        <v>465</v>
      </c>
      <c r="B247" s="92" t="s">
        <v>251</v>
      </c>
      <c r="C247" s="91" t="s">
        <v>465</v>
      </c>
      <c r="D247" s="91" t="s">
        <v>256</v>
      </c>
      <c r="E247" s="93">
        <v>34281</v>
      </c>
      <c r="F247" s="94">
        <f t="shared" ca="1" si="10"/>
        <v>23</v>
      </c>
      <c r="G247" s="95" t="s">
        <v>283</v>
      </c>
      <c r="H247" s="96">
        <v>61150</v>
      </c>
      <c r="I247" s="97">
        <v>2</v>
      </c>
    </row>
    <row r="248" spans="1:9" ht="13.5" x14ac:dyDescent="0.25">
      <c r="A248" s="91" t="s">
        <v>465</v>
      </c>
      <c r="B248" s="92" t="s">
        <v>271</v>
      </c>
      <c r="C248" s="91" t="s">
        <v>465</v>
      </c>
      <c r="D248" s="91" t="s">
        <v>256</v>
      </c>
      <c r="E248" s="93">
        <v>34385</v>
      </c>
      <c r="F248" s="94">
        <f t="shared" ca="1" si="10"/>
        <v>22</v>
      </c>
      <c r="G248" s="95" t="s">
        <v>257</v>
      </c>
      <c r="H248" s="96">
        <v>60100</v>
      </c>
      <c r="I248" s="97">
        <v>1</v>
      </c>
    </row>
    <row r="249" spans="1:9" ht="13.5" x14ac:dyDescent="0.25">
      <c r="A249" s="91" t="s">
        <v>465</v>
      </c>
      <c r="B249" s="92" t="s">
        <v>285</v>
      </c>
      <c r="C249" s="91" t="s">
        <v>465</v>
      </c>
      <c r="D249" s="91" t="s">
        <v>256</v>
      </c>
      <c r="E249" s="93">
        <v>34393</v>
      </c>
      <c r="F249" s="94">
        <f t="shared" ca="1" si="10"/>
        <v>22</v>
      </c>
      <c r="G249" s="95" t="s">
        <v>262</v>
      </c>
      <c r="H249" s="96">
        <v>66430</v>
      </c>
      <c r="I249" s="97">
        <v>2</v>
      </c>
    </row>
    <row r="250" spans="1:9" ht="13.5" x14ac:dyDescent="0.25">
      <c r="A250" s="91" t="s">
        <v>465</v>
      </c>
      <c r="B250" s="92" t="s">
        <v>245</v>
      </c>
      <c r="C250" s="91" t="s">
        <v>465</v>
      </c>
      <c r="D250" s="91" t="s">
        <v>256</v>
      </c>
      <c r="E250" s="93">
        <v>34404</v>
      </c>
      <c r="F250" s="94">
        <f t="shared" ca="1" si="10"/>
        <v>22</v>
      </c>
      <c r="G250" s="95" t="s">
        <v>262</v>
      </c>
      <c r="H250" s="96">
        <v>70020</v>
      </c>
      <c r="I250" s="97">
        <v>3</v>
      </c>
    </row>
    <row r="251" spans="1:9" ht="13.5" x14ac:dyDescent="0.25">
      <c r="A251" s="91" t="s">
        <v>465</v>
      </c>
      <c r="B251" s="92" t="s">
        <v>251</v>
      </c>
      <c r="C251" s="91" t="s">
        <v>465</v>
      </c>
      <c r="D251" s="91" t="s">
        <v>256</v>
      </c>
      <c r="E251" s="93">
        <v>34491</v>
      </c>
      <c r="F251" s="94">
        <f t="shared" ca="1" si="10"/>
        <v>22</v>
      </c>
      <c r="G251" s="95" t="s">
        <v>257</v>
      </c>
      <c r="H251" s="96">
        <v>78570</v>
      </c>
      <c r="I251" s="97">
        <v>1</v>
      </c>
    </row>
    <row r="252" spans="1:9" ht="13.5" x14ac:dyDescent="0.25">
      <c r="A252" s="91" t="s">
        <v>465</v>
      </c>
      <c r="B252" s="92" t="s">
        <v>251</v>
      </c>
      <c r="C252" s="91" t="s">
        <v>465</v>
      </c>
      <c r="D252" s="91" t="s">
        <v>261</v>
      </c>
      <c r="E252" s="93">
        <v>34497</v>
      </c>
      <c r="F252" s="94">
        <f t="shared" ca="1" si="10"/>
        <v>22</v>
      </c>
      <c r="G252" s="95" t="s">
        <v>257</v>
      </c>
      <c r="H252" s="96">
        <v>48835</v>
      </c>
      <c r="I252" s="97">
        <v>5</v>
      </c>
    </row>
    <row r="253" spans="1:9" ht="13.5" x14ac:dyDescent="0.25">
      <c r="A253" s="91" t="s">
        <v>465</v>
      </c>
      <c r="B253" s="92" t="s">
        <v>245</v>
      </c>
      <c r="C253" s="91" t="s">
        <v>465</v>
      </c>
      <c r="D253" s="91" t="s">
        <v>252</v>
      </c>
      <c r="E253" s="93">
        <v>34519</v>
      </c>
      <c r="F253" s="94">
        <f t="shared" ca="1" si="10"/>
        <v>22</v>
      </c>
      <c r="G253" s="95"/>
      <c r="H253" s="96">
        <v>29176</v>
      </c>
      <c r="I253" s="97">
        <v>3</v>
      </c>
    </row>
    <row r="254" spans="1:9" ht="13.5" x14ac:dyDescent="0.25">
      <c r="A254" s="91" t="s">
        <v>465</v>
      </c>
      <c r="B254" s="92" t="s">
        <v>266</v>
      </c>
      <c r="C254" s="91" t="s">
        <v>465</v>
      </c>
      <c r="D254" s="91" t="s">
        <v>256</v>
      </c>
      <c r="E254" s="93">
        <v>34520</v>
      </c>
      <c r="F254" s="94">
        <f t="shared" ca="1" si="10"/>
        <v>22</v>
      </c>
      <c r="G254" s="95" t="s">
        <v>267</v>
      </c>
      <c r="H254" s="96">
        <v>35460</v>
      </c>
      <c r="I254" s="97">
        <v>5</v>
      </c>
    </row>
    <row r="255" spans="1:9" ht="13.5" x14ac:dyDescent="0.25">
      <c r="A255" s="91" t="s">
        <v>465</v>
      </c>
      <c r="B255" s="92" t="s">
        <v>251</v>
      </c>
      <c r="C255" s="91" t="s">
        <v>465</v>
      </c>
      <c r="D255" s="91" t="s">
        <v>247</v>
      </c>
      <c r="E255" s="93">
        <v>34617</v>
      </c>
      <c r="F255" s="94">
        <f t="shared" ca="1" si="10"/>
        <v>22</v>
      </c>
      <c r="G255" s="95"/>
      <c r="H255" s="96">
        <v>76910</v>
      </c>
      <c r="I255" s="97">
        <v>1</v>
      </c>
    </row>
    <row r="256" spans="1:9" ht="13.5" x14ac:dyDescent="0.25">
      <c r="A256" s="91" t="s">
        <v>465</v>
      </c>
      <c r="B256" s="92" t="s">
        <v>285</v>
      </c>
      <c r="C256" s="91" t="s">
        <v>465</v>
      </c>
      <c r="D256" s="91" t="s">
        <v>256</v>
      </c>
      <c r="E256" s="93">
        <v>34622</v>
      </c>
      <c r="F256" s="94">
        <f t="shared" ca="1" si="10"/>
        <v>22</v>
      </c>
      <c r="G256" s="95" t="s">
        <v>283</v>
      </c>
      <c r="H256" s="96">
        <v>89740</v>
      </c>
      <c r="I256" s="97">
        <v>5</v>
      </c>
    </row>
    <row r="257" spans="1:9" ht="13.5" x14ac:dyDescent="0.25">
      <c r="A257" s="91" t="s">
        <v>465</v>
      </c>
      <c r="B257" s="92" t="s">
        <v>245</v>
      </c>
      <c r="C257" s="91" t="s">
        <v>465</v>
      </c>
      <c r="D257" s="91" t="s">
        <v>256</v>
      </c>
      <c r="E257" s="93">
        <v>34628</v>
      </c>
      <c r="F257" s="94">
        <f t="shared" ca="1" si="10"/>
        <v>22</v>
      </c>
      <c r="G257" s="95" t="s">
        <v>267</v>
      </c>
      <c r="H257" s="96">
        <v>55450</v>
      </c>
      <c r="I257" s="97">
        <v>5</v>
      </c>
    </row>
    <row r="258" spans="1:9" ht="13.5" x14ac:dyDescent="0.25">
      <c r="A258" s="91" t="s">
        <v>465</v>
      </c>
      <c r="B258" s="92" t="s">
        <v>285</v>
      </c>
      <c r="C258" s="91" t="s">
        <v>465</v>
      </c>
      <c r="D258" s="91" t="s">
        <v>247</v>
      </c>
      <c r="E258" s="93">
        <v>34662</v>
      </c>
      <c r="F258" s="94">
        <f t="shared" ca="1" si="10"/>
        <v>21</v>
      </c>
      <c r="G258" s="95"/>
      <c r="H258" s="96">
        <v>71710</v>
      </c>
      <c r="I258" s="97">
        <v>5</v>
      </c>
    </row>
    <row r="259" spans="1:9" ht="13.5" x14ac:dyDescent="0.25">
      <c r="A259" s="91" t="s">
        <v>465</v>
      </c>
      <c r="B259" s="92" t="s">
        <v>285</v>
      </c>
      <c r="C259" s="91" t="s">
        <v>465</v>
      </c>
      <c r="D259" s="91" t="s">
        <v>252</v>
      </c>
      <c r="E259" s="93">
        <v>34672</v>
      </c>
      <c r="F259" s="94">
        <f t="shared" ca="1" si="10"/>
        <v>21</v>
      </c>
      <c r="G259" s="95"/>
      <c r="H259" s="96">
        <v>8904</v>
      </c>
      <c r="I259" s="97">
        <v>3</v>
      </c>
    </row>
    <row r="260" spans="1:9" ht="13.5" x14ac:dyDescent="0.25">
      <c r="A260" s="91" t="s">
        <v>465</v>
      </c>
      <c r="B260" s="92" t="s">
        <v>271</v>
      </c>
      <c r="C260" s="91" t="s">
        <v>465</v>
      </c>
      <c r="D260" s="91" t="s">
        <v>247</v>
      </c>
      <c r="E260" s="93">
        <v>34682</v>
      </c>
      <c r="F260" s="94">
        <f t="shared" ca="1" si="10"/>
        <v>21</v>
      </c>
      <c r="G260" s="95"/>
      <c r="H260" s="96">
        <v>68260</v>
      </c>
      <c r="I260" s="97">
        <v>5</v>
      </c>
    </row>
    <row r="261" spans="1:9" ht="13.5" x14ac:dyDescent="0.25">
      <c r="A261" s="91" t="s">
        <v>465</v>
      </c>
      <c r="B261" s="92" t="s">
        <v>271</v>
      </c>
      <c r="C261" s="91" t="s">
        <v>465</v>
      </c>
      <c r="D261" s="91" t="s">
        <v>256</v>
      </c>
      <c r="E261" s="93">
        <v>34686</v>
      </c>
      <c r="F261" s="94">
        <f t="shared" ca="1" si="10"/>
        <v>21</v>
      </c>
      <c r="G261" s="95" t="s">
        <v>257</v>
      </c>
      <c r="H261" s="96">
        <v>40340</v>
      </c>
      <c r="I261" s="97">
        <v>2</v>
      </c>
    </row>
    <row r="262" spans="1:9" ht="13.5" x14ac:dyDescent="0.25">
      <c r="A262" s="91" t="s">
        <v>465</v>
      </c>
      <c r="B262" s="92" t="s">
        <v>285</v>
      </c>
      <c r="C262" s="91" t="s">
        <v>465</v>
      </c>
      <c r="D262" s="91" t="s">
        <v>247</v>
      </c>
      <c r="E262" s="93">
        <v>34687</v>
      </c>
      <c r="F262" s="94">
        <f t="shared" ca="1" si="10"/>
        <v>21</v>
      </c>
      <c r="G262" s="95"/>
      <c r="H262" s="96">
        <v>72520</v>
      </c>
      <c r="I262" s="97">
        <v>3</v>
      </c>
    </row>
    <row r="263" spans="1:9" ht="13.5" x14ac:dyDescent="0.25">
      <c r="A263" s="91" t="s">
        <v>465</v>
      </c>
      <c r="B263" s="92" t="s">
        <v>271</v>
      </c>
      <c r="C263" s="91" t="s">
        <v>465</v>
      </c>
      <c r="D263" s="91" t="s">
        <v>256</v>
      </c>
      <c r="E263" s="93">
        <v>34699</v>
      </c>
      <c r="F263" s="94">
        <f t="shared" ref="F263:F326" ca="1" si="11">DATEDIF(E263,TODAY(),"Y")</f>
        <v>21</v>
      </c>
      <c r="G263" s="95" t="s">
        <v>257</v>
      </c>
      <c r="H263" s="96">
        <v>75120</v>
      </c>
      <c r="I263" s="97">
        <v>5</v>
      </c>
    </row>
    <row r="264" spans="1:9" ht="13.5" x14ac:dyDescent="0.25">
      <c r="A264" s="91" t="s">
        <v>465</v>
      </c>
      <c r="B264" s="92" t="s">
        <v>280</v>
      </c>
      <c r="C264" s="91" t="s">
        <v>465</v>
      </c>
      <c r="D264" s="91" t="s">
        <v>247</v>
      </c>
      <c r="E264" s="93">
        <v>34701</v>
      </c>
      <c r="F264" s="94">
        <f t="shared" ca="1" si="11"/>
        <v>21</v>
      </c>
      <c r="G264" s="95"/>
      <c r="H264" s="96">
        <v>45050</v>
      </c>
      <c r="I264" s="97">
        <v>1</v>
      </c>
    </row>
    <row r="265" spans="1:9" ht="13.5" x14ac:dyDescent="0.25">
      <c r="A265" s="91" t="s">
        <v>465</v>
      </c>
      <c r="B265" s="92" t="s">
        <v>280</v>
      </c>
      <c r="C265" s="91" t="s">
        <v>465</v>
      </c>
      <c r="D265" s="91" t="s">
        <v>252</v>
      </c>
      <c r="E265" s="93">
        <v>34757</v>
      </c>
      <c r="F265" s="94">
        <f t="shared" ca="1" si="11"/>
        <v>21</v>
      </c>
      <c r="G265" s="95"/>
      <c r="H265" s="96">
        <v>37612</v>
      </c>
      <c r="I265" s="97">
        <v>4</v>
      </c>
    </row>
    <row r="266" spans="1:9" ht="13.5" x14ac:dyDescent="0.25">
      <c r="A266" s="91" t="s">
        <v>465</v>
      </c>
      <c r="B266" s="92" t="s">
        <v>280</v>
      </c>
      <c r="C266" s="91" t="s">
        <v>465</v>
      </c>
      <c r="D266" s="91" t="s">
        <v>252</v>
      </c>
      <c r="E266" s="93">
        <v>34757</v>
      </c>
      <c r="F266" s="94">
        <f t="shared" ca="1" si="11"/>
        <v>21</v>
      </c>
      <c r="G266" s="95"/>
      <c r="H266" s="96">
        <v>37612</v>
      </c>
      <c r="I266" s="97">
        <v>4</v>
      </c>
    </row>
    <row r="267" spans="1:9" ht="13.5" x14ac:dyDescent="0.25">
      <c r="A267" s="91" t="s">
        <v>465</v>
      </c>
      <c r="B267" s="92" t="s">
        <v>280</v>
      </c>
      <c r="C267" s="91" t="s">
        <v>465</v>
      </c>
      <c r="D267" s="91" t="s">
        <v>256</v>
      </c>
      <c r="E267" s="93">
        <v>34774</v>
      </c>
      <c r="F267" s="94">
        <f t="shared" ca="1" si="11"/>
        <v>21</v>
      </c>
      <c r="G267" s="95" t="s">
        <v>257</v>
      </c>
      <c r="H267" s="96">
        <v>33210</v>
      </c>
      <c r="I267" s="97">
        <v>4</v>
      </c>
    </row>
    <row r="268" spans="1:9" ht="13.5" x14ac:dyDescent="0.25">
      <c r="A268" s="91" t="s">
        <v>465</v>
      </c>
      <c r="B268" s="92" t="s">
        <v>271</v>
      </c>
      <c r="C268" s="91" t="s">
        <v>465</v>
      </c>
      <c r="D268" s="91" t="s">
        <v>256</v>
      </c>
      <c r="E268" s="93">
        <v>34791</v>
      </c>
      <c r="F268" s="94">
        <f t="shared" ca="1" si="11"/>
        <v>21</v>
      </c>
      <c r="G268" s="95" t="s">
        <v>257</v>
      </c>
      <c r="H268" s="96">
        <v>88240</v>
      </c>
      <c r="I268" s="97">
        <v>5</v>
      </c>
    </row>
    <row r="269" spans="1:9" ht="13.5" x14ac:dyDescent="0.25">
      <c r="A269" s="91" t="s">
        <v>465</v>
      </c>
      <c r="B269" s="92" t="s">
        <v>245</v>
      </c>
      <c r="C269" s="91" t="s">
        <v>465</v>
      </c>
      <c r="D269" s="91" t="s">
        <v>256</v>
      </c>
      <c r="E269" s="93">
        <v>34812</v>
      </c>
      <c r="F269" s="94">
        <f t="shared" ca="1" si="11"/>
        <v>21</v>
      </c>
      <c r="G269" s="95" t="s">
        <v>262</v>
      </c>
      <c r="H269" s="96">
        <v>22660</v>
      </c>
      <c r="I269" s="97">
        <v>2</v>
      </c>
    </row>
    <row r="270" spans="1:9" ht="13.5" x14ac:dyDescent="0.25">
      <c r="A270" s="91" t="s">
        <v>465</v>
      </c>
      <c r="B270" s="92" t="s">
        <v>271</v>
      </c>
      <c r="C270" s="91" t="s">
        <v>465</v>
      </c>
      <c r="D270" s="91" t="s">
        <v>261</v>
      </c>
      <c r="E270" s="93">
        <v>34867</v>
      </c>
      <c r="F270" s="94">
        <f t="shared" ca="1" si="11"/>
        <v>21</v>
      </c>
      <c r="G270" s="95" t="s">
        <v>267</v>
      </c>
      <c r="H270" s="96">
        <v>21670</v>
      </c>
      <c r="I270" s="97">
        <v>2</v>
      </c>
    </row>
    <row r="271" spans="1:9" ht="13.5" x14ac:dyDescent="0.25">
      <c r="A271" s="91" t="s">
        <v>465</v>
      </c>
      <c r="B271" s="92" t="s">
        <v>251</v>
      </c>
      <c r="C271" s="91" t="s">
        <v>465</v>
      </c>
      <c r="D271" s="91" t="s">
        <v>256</v>
      </c>
      <c r="E271" s="93">
        <v>34888</v>
      </c>
      <c r="F271" s="94">
        <f t="shared" ca="1" si="11"/>
        <v>21</v>
      </c>
      <c r="G271" s="95" t="s">
        <v>276</v>
      </c>
      <c r="H271" s="96">
        <v>81400</v>
      </c>
      <c r="I271" s="97">
        <v>2</v>
      </c>
    </row>
    <row r="272" spans="1:9" ht="13.5" x14ac:dyDescent="0.25">
      <c r="A272" s="91" t="s">
        <v>465</v>
      </c>
      <c r="B272" s="92" t="s">
        <v>271</v>
      </c>
      <c r="C272" s="91" t="s">
        <v>465</v>
      </c>
      <c r="D272" s="91" t="s">
        <v>261</v>
      </c>
      <c r="E272" s="93">
        <v>34959</v>
      </c>
      <c r="F272" s="94">
        <f t="shared" ca="1" si="11"/>
        <v>21</v>
      </c>
      <c r="G272" s="95" t="s">
        <v>283</v>
      </c>
      <c r="H272" s="96">
        <v>48190</v>
      </c>
      <c r="I272" s="97">
        <v>1</v>
      </c>
    </row>
    <row r="273" spans="1:9" ht="13.5" x14ac:dyDescent="0.25">
      <c r="A273" s="91" t="s">
        <v>465</v>
      </c>
      <c r="B273" s="92" t="s">
        <v>271</v>
      </c>
      <c r="C273" s="91" t="s">
        <v>465</v>
      </c>
      <c r="D273" s="91" t="s">
        <v>261</v>
      </c>
      <c r="E273" s="93">
        <v>34959</v>
      </c>
      <c r="F273" s="94">
        <f t="shared" ca="1" si="11"/>
        <v>21</v>
      </c>
      <c r="G273" s="95" t="s">
        <v>283</v>
      </c>
      <c r="H273" s="96">
        <v>48190</v>
      </c>
      <c r="I273" s="97">
        <v>1</v>
      </c>
    </row>
    <row r="274" spans="1:9" ht="13.5" x14ac:dyDescent="0.25">
      <c r="A274" s="91" t="s">
        <v>465</v>
      </c>
      <c r="B274" s="92" t="s">
        <v>271</v>
      </c>
      <c r="C274" s="91" t="s">
        <v>465</v>
      </c>
      <c r="D274" s="91" t="s">
        <v>256</v>
      </c>
      <c r="E274" s="93">
        <v>34963</v>
      </c>
      <c r="F274" s="94">
        <f t="shared" ca="1" si="11"/>
        <v>21</v>
      </c>
      <c r="G274" s="95" t="s">
        <v>283</v>
      </c>
      <c r="H274" s="96">
        <v>61330</v>
      </c>
      <c r="I274" s="97">
        <v>4</v>
      </c>
    </row>
    <row r="275" spans="1:9" ht="13.5" x14ac:dyDescent="0.25">
      <c r="A275" s="91" t="s">
        <v>465</v>
      </c>
      <c r="B275" s="92" t="s">
        <v>280</v>
      </c>
      <c r="C275" s="91" t="s">
        <v>465</v>
      </c>
      <c r="D275" s="91" t="s">
        <v>247</v>
      </c>
      <c r="E275" s="93">
        <v>34973</v>
      </c>
      <c r="F275" s="94">
        <f t="shared" ca="1" si="11"/>
        <v>21</v>
      </c>
      <c r="G275" s="95"/>
      <c r="H275" s="96">
        <v>25130</v>
      </c>
      <c r="I275" s="97">
        <v>5</v>
      </c>
    </row>
    <row r="276" spans="1:9" ht="13.5" x14ac:dyDescent="0.25">
      <c r="A276" s="91" t="s">
        <v>465</v>
      </c>
      <c r="B276" s="92" t="s">
        <v>271</v>
      </c>
      <c r="C276" s="91" t="s">
        <v>465</v>
      </c>
      <c r="D276" s="91" t="s">
        <v>252</v>
      </c>
      <c r="E276" s="93">
        <v>34995</v>
      </c>
      <c r="F276" s="94">
        <f t="shared" ca="1" si="11"/>
        <v>21</v>
      </c>
      <c r="G276" s="95"/>
      <c r="H276" s="96">
        <v>9424</v>
      </c>
      <c r="I276" s="97">
        <v>4</v>
      </c>
    </row>
    <row r="277" spans="1:9" ht="13.5" x14ac:dyDescent="0.25">
      <c r="A277" s="91" t="s">
        <v>465</v>
      </c>
      <c r="B277" s="92" t="s">
        <v>285</v>
      </c>
      <c r="C277" s="91" t="s">
        <v>465</v>
      </c>
      <c r="D277" s="91" t="s">
        <v>256</v>
      </c>
      <c r="E277" s="93">
        <v>35008</v>
      </c>
      <c r="F277" s="94">
        <f t="shared" ca="1" si="11"/>
        <v>21</v>
      </c>
      <c r="G277" s="95" t="s">
        <v>283</v>
      </c>
      <c r="H277" s="96">
        <v>68750</v>
      </c>
      <c r="I277" s="97">
        <v>1</v>
      </c>
    </row>
    <row r="278" spans="1:9" ht="13.5" x14ac:dyDescent="0.25">
      <c r="A278" s="91" t="s">
        <v>465</v>
      </c>
      <c r="B278" s="92" t="s">
        <v>285</v>
      </c>
      <c r="C278" s="91" t="s">
        <v>465</v>
      </c>
      <c r="D278" s="91" t="s">
        <v>256</v>
      </c>
      <c r="E278" s="93">
        <v>35022</v>
      </c>
      <c r="F278" s="94">
        <f t="shared" ca="1" si="11"/>
        <v>20</v>
      </c>
      <c r="G278" s="95" t="s">
        <v>267</v>
      </c>
      <c r="H278" s="96">
        <v>37760</v>
      </c>
      <c r="I278" s="97">
        <v>2</v>
      </c>
    </row>
    <row r="279" spans="1:9" ht="13.5" x14ac:dyDescent="0.25">
      <c r="A279" s="91" t="s">
        <v>465</v>
      </c>
      <c r="B279" s="92" t="s">
        <v>266</v>
      </c>
      <c r="C279" s="91" t="s">
        <v>465</v>
      </c>
      <c r="D279" s="91" t="s">
        <v>247</v>
      </c>
      <c r="E279" s="93">
        <v>35040</v>
      </c>
      <c r="F279" s="94">
        <f t="shared" ca="1" si="11"/>
        <v>20</v>
      </c>
      <c r="G279" s="95"/>
      <c r="H279" s="96">
        <v>27380</v>
      </c>
      <c r="I279" s="97">
        <v>3</v>
      </c>
    </row>
    <row r="280" spans="1:9" ht="13.5" x14ac:dyDescent="0.25">
      <c r="A280" s="91" t="s">
        <v>465</v>
      </c>
      <c r="B280" s="92" t="s">
        <v>285</v>
      </c>
      <c r="C280" s="91" t="s">
        <v>465</v>
      </c>
      <c r="D280" s="91" t="s">
        <v>261</v>
      </c>
      <c r="E280" s="93">
        <v>35050</v>
      </c>
      <c r="F280" s="94">
        <f t="shared" ca="1" si="11"/>
        <v>20</v>
      </c>
      <c r="G280" s="95" t="s">
        <v>283</v>
      </c>
      <c r="H280" s="96">
        <v>11065</v>
      </c>
      <c r="I280" s="97">
        <v>1</v>
      </c>
    </row>
    <row r="281" spans="1:9" ht="13.5" x14ac:dyDescent="0.25">
      <c r="A281" s="91" t="s">
        <v>465</v>
      </c>
      <c r="B281" s="92" t="s">
        <v>280</v>
      </c>
      <c r="C281" s="91" t="s">
        <v>465</v>
      </c>
      <c r="D281" s="91" t="s">
        <v>256</v>
      </c>
      <c r="E281" s="93">
        <v>35103</v>
      </c>
      <c r="F281" s="94">
        <f t="shared" ca="1" si="11"/>
        <v>20</v>
      </c>
      <c r="G281" s="95" t="s">
        <v>257</v>
      </c>
      <c r="H281" s="96">
        <v>40060</v>
      </c>
      <c r="I281" s="97">
        <v>3</v>
      </c>
    </row>
    <row r="282" spans="1:9" ht="13.5" x14ac:dyDescent="0.25">
      <c r="A282" s="91" t="s">
        <v>465</v>
      </c>
      <c r="B282" s="92" t="s">
        <v>285</v>
      </c>
      <c r="C282" s="91" t="s">
        <v>465</v>
      </c>
      <c r="D282" s="91" t="s">
        <v>261</v>
      </c>
      <c r="E282" s="93">
        <v>35112</v>
      </c>
      <c r="F282" s="94">
        <f t="shared" ca="1" si="11"/>
        <v>20</v>
      </c>
      <c r="G282" s="95" t="s">
        <v>283</v>
      </c>
      <c r="H282" s="96">
        <v>17270</v>
      </c>
      <c r="I282" s="97">
        <v>5</v>
      </c>
    </row>
    <row r="283" spans="1:9" ht="13.5" x14ac:dyDescent="0.25">
      <c r="A283" s="91" t="s">
        <v>465</v>
      </c>
      <c r="B283" s="92" t="s">
        <v>285</v>
      </c>
      <c r="C283" s="91" t="s">
        <v>465</v>
      </c>
      <c r="D283" s="91" t="s">
        <v>256</v>
      </c>
      <c r="E283" s="93">
        <v>35121</v>
      </c>
      <c r="F283" s="94">
        <f t="shared" ca="1" si="11"/>
        <v>20</v>
      </c>
      <c r="G283" s="95" t="s">
        <v>257</v>
      </c>
      <c r="H283" s="96">
        <v>35820</v>
      </c>
      <c r="I283" s="97">
        <v>2</v>
      </c>
    </row>
    <row r="284" spans="1:9" ht="13.5" x14ac:dyDescent="0.25">
      <c r="A284" s="91" t="s">
        <v>465</v>
      </c>
      <c r="B284" s="92" t="s">
        <v>245</v>
      </c>
      <c r="C284" s="91" t="s">
        <v>465</v>
      </c>
      <c r="D284" s="91" t="s">
        <v>256</v>
      </c>
      <c r="E284" s="93">
        <v>35134</v>
      </c>
      <c r="F284" s="94">
        <f t="shared" ca="1" si="11"/>
        <v>20</v>
      </c>
      <c r="G284" s="95" t="s">
        <v>257</v>
      </c>
      <c r="H284" s="96">
        <v>67280</v>
      </c>
      <c r="I284" s="97">
        <v>3</v>
      </c>
    </row>
    <row r="285" spans="1:9" ht="13.5" x14ac:dyDescent="0.25">
      <c r="A285" s="91" t="s">
        <v>465</v>
      </c>
      <c r="B285" s="92" t="s">
        <v>271</v>
      </c>
      <c r="C285" s="91" t="s">
        <v>465</v>
      </c>
      <c r="D285" s="91" t="s">
        <v>247</v>
      </c>
      <c r="E285" s="93">
        <v>35145</v>
      </c>
      <c r="F285" s="94">
        <f t="shared" ca="1" si="11"/>
        <v>20</v>
      </c>
      <c r="G285" s="95"/>
      <c r="H285" s="96">
        <v>23810</v>
      </c>
      <c r="I285" s="97">
        <v>4</v>
      </c>
    </row>
    <row r="286" spans="1:9" ht="13.5" x14ac:dyDescent="0.25">
      <c r="A286" s="91" t="s">
        <v>465</v>
      </c>
      <c r="B286" s="92" t="s">
        <v>271</v>
      </c>
      <c r="C286" s="91" t="s">
        <v>465</v>
      </c>
      <c r="D286" s="91" t="s">
        <v>261</v>
      </c>
      <c r="E286" s="93">
        <v>35193</v>
      </c>
      <c r="F286" s="94">
        <f t="shared" ca="1" si="11"/>
        <v>20</v>
      </c>
      <c r="G286" s="95" t="s">
        <v>267</v>
      </c>
      <c r="H286" s="96">
        <v>41615</v>
      </c>
      <c r="I286" s="97">
        <v>1</v>
      </c>
    </row>
    <row r="287" spans="1:9" ht="13.5" x14ac:dyDescent="0.25">
      <c r="A287" s="91" t="s">
        <v>465</v>
      </c>
      <c r="B287" s="92" t="s">
        <v>271</v>
      </c>
      <c r="C287" s="91" t="s">
        <v>465</v>
      </c>
      <c r="D287" s="91" t="s">
        <v>256</v>
      </c>
      <c r="E287" s="93">
        <v>35225</v>
      </c>
      <c r="F287" s="94">
        <f t="shared" ca="1" si="11"/>
        <v>20</v>
      </c>
      <c r="G287" s="95" t="s">
        <v>257</v>
      </c>
      <c r="H287" s="96">
        <v>76192</v>
      </c>
      <c r="I287" s="97">
        <v>4</v>
      </c>
    </row>
    <row r="288" spans="1:9" ht="13.5" x14ac:dyDescent="0.25">
      <c r="A288" s="91" t="s">
        <v>465</v>
      </c>
      <c r="B288" s="92" t="s">
        <v>280</v>
      </c>
      <c r="C288" s="91" t="s">
        <v>465</v>
      </c>
      <c r="D288" s="91" t="s">
        <v>247</v>
      </c>
      <c r="E288" s="93">
        <v>35290</v>
      </c>
      <c r="F288" s="94">
        <f t="shared" ca="1" si="11"/>
        <v>20</v>
      </c>
      <c r="G288" s="95"/>
      <c r="H288" s="96">
        <v>41840</v>
      </c>
      <c r="I288" s="97">
        <v>2</v>
      </c>
    </row>
    <row r="289" spans="1:9" ht="13.5" x14ac:dyDescent="0.25">
      <c r="A289" s="91" t="s">
        <v>465</v>
      </c>
      <c r="B289" s="92" t="s">
        <v>285</v>
      </c>
      <c r="C289" s="91" t="s">
        <v>465</v>
      </c>
      <c r="D289" s="91" t="s">
        <v>261</v>
      </c>
      <c r="E289" s="93">
        <v>35294</v>
      </c>
      <c r="F289" s="94">
        <f t="shared" ca="1" si="11"/>
        <v>20</v>
      </c>
      <c r="G289" s="95" t="s">
        <v>283</v>
      </c>
      <c r="H289" s="96">
        <v>46710</v>
      </c>
      <c r="I289" s="97">
        <v>3</v>
      </c>
    </row>
    <row r="290" spans="1:9" ht="13.5" x14ac:dyDescent="0.25">
      <c r="A290" s="91" t="s">
        <v>465</v>
      </c>
      <c r="B290" s="92" t="s">
        <v>271</v>
      </c>
      <c r="C290" s="91" t="s">
        <v>465</v>
      </c>
      <c r="D290" s="91" t="s">
        <v>247</v>
      </c>
      <c r="E290" s="93">
        <v>35327</v>
      </c>
      <c r="F290" s="94">
        <f t="shared" ca="1" si="11"/>
        <v>20</v>
      </c>
      <c r="G290" s="95"/>
      <c r="H290" s="96">
        <v>57600</v>
      </c>
      <c r="I290" s="97">
        <v>3</v>
      </c>
    </row>
    <row r="291" spans="1:9" ht="13.5" x14ac:dyDescent="0.25">
      <c r="A291" s="91" t="s">
        <v>465</v>
      </c>
      <c r="B291" s="92" t="s">
        <v>245</v>
      </c>
      <c r="C291" s="91" t="s">
        <v>465</v>
      </c>
      <c r="D291" s="91" t="s">
        <v>256</v>
      </c>
      <c r="E291" s="93">
        <v>35388</v>
      </c>
      <c r="F291" s="94">
        <f t="shared" ca="1" si="11"/>
        <v>19</v>
      </c>
      <c r="G291" s="95" t="s">
        <v>267</v>
      </c>
      <c r="H291" s="96">
        <v>23650</v>
      </c>
      <c r="I291" s="97">
        <v>1</v>
      </c>
    </row>
    <row r="292" spans="1:9" ht="13.5" x14ac:dyDescent="0.25">
      <c r="A292" s="91" t="s">
        <v>465</v>
      </c>
      <c r="B292" s="92" t="s">
        <v>280</v>
      </c>
      <c r="C292" s="91" t="s">
        <v>465</v>
      </c>
      <c r="D292" s="91" t="s">
        <v>247</v>
      </c>
      <c r="E292" s="93">
        <v>35394</v>
      </c>
      <c r="F292" s="94">
        <f t="shared" ca="1" si="11"/>
        <v>19</v>
      </c>
      <c r="G292" s="95"/>
      <c r="H292" s="96">
        <v>57760</v>
      </c>
      <c r="I292" s="97">
        <v>3</v>
      </c>
    </row>
    <row r="293" spans="1:9" ht="13.5" x14ac:dyDescent="0.25">
      <c r="A293" s="91" t="s">
        <v>465</v>
      </c>
      <c r="B293" s="92" t="s">
        <v>285</v>
      </c>
      <c r="C293" s="91" t="s">
        <v>465</v>
      </c>
      <c r="D293" s="91" t="s">
        <v>256</v>
      </c>
      <c r="E293" s="93">
        <v>35397</v>
      </c>
      <c r="F293" s="94">
        <f t="shared" ca="1" si="11"/>
        <v>19</v>
      </c>
      <c r="G293" s="95" t="s">
        <v>276</v>
      </c>
      <c r="H293" s="96">
        <v>38870</v>
      </c>
      <c r="I293" s="97">
        <v>2</v>
      </c>
    </row>
    <row r="294" spans="1:9" ht="13.5" x14ac:dyDescent="0.25">
      <c r="A294" s="91" t="s">
        <v>465</v>
      </c>
      <c r="B294" s="92" t="s">
        <v>285</v>
      </c>
      <c r="C294" s="91" t="s">
        <v>465</v>
      </c>
      <c r="D294" s="91" t="s">
        <v>247</v>
      </c>
      <c r="E294" s="93">
        <v>35408</v>
      </c>
      <c r="F294" s="94">
        <f t="shared" ca="1" si="11"/>
        <v>19</v>
      </c>
      <c r="G294" s="95"/>
      <c r="H294" s="96">
        <v>89520</v>
      </c>
      <c r="I294" s="97">
        <v>5</v>
      </c>
    </row>
    <row r="295" spans="1:9" ht="13.5" x14ac:dyDescent="0.25">
      <c r="A295" s="91" t="s">
        <v>465</v>
      </c>
      <c r="B295" s="92" t="s">
        <v>285</v>
      </c>
      <c r="C295" s="91" t="s">
        <v>465</v>
      </c>
      <c r="D295" s="91" t="s">
        <v>247</v>
      </c>
      <c r="E295" s="93">
        <v>35419</v>
      </c>
      <c r="F295" s="94">
        <f t="shared" ca="1" si="11"/>
        <v>19</v>
      </c>
      <c r="G295" s="95"/>
      <c r="H295" s="96">
        <v>45420</v>
      </c>
      <c r="I295" s="97">
        <v>1</v>
      </c>
    </row>
    <row r="296" spans="1:9" ht="13.5" x14ac:dyDescent="0.25">
      <c r="A296" s="91" t="s">
        <v>465</v>
      </c>
      <c r="B296" s="92" t="s">
        <v>285</v>
      </c>
      <c r="C296" s="91" t="s">
        <v>465</v>
      </c>
      <c r="D296" s="91" t="s">
        <v>247</v>
      </c>
      <c r="E296" s="93">
        <v>35667</v>
      </c>
      <c r="F296" s="94">
        <f t="shared" ca="1" si="11"/>
        <v>19</v>
      </c>
      <c r="G296" s="95"/>
      <c r="H296" s="96">
        <v>68510</v>
      </c>
      <c r="I296" s="97">
        <v>5</v>
      </c>
    </row>
    <row r="297" spans="1:9" ht="13.5" x14ac:dyDescent="0.25">
      <c r="A297" s="91" t="s">
        <v>465</v>
      </c>
      <c r="B297" s="92" t="s">
        <v>285</v>
      </c>
      <c r="C297" s="91" t="s">
        <v>465</v>
      </c>
      <c r="D297" s="91" t="s">
        <v>256</v>
      </c>
      <c r="E297" s="93">
        <v>35758</v>
      </c>
      <c r="F297" s="94">
        <f t="shared" ca="1" si="11"/>
        <v>18</v>
      </c>
      <c r="G297" s="95" t="s">
        <v>262</v>
      </c>
      <c r="H297" s="96">
        <v>66010</v>
      </c>
      <c r="I297" s="97">
        <v>5</v>
      </c>
    </row>
    <row r="298" spans="1:9" ht="13.5" x14ac:dyDescent="0.25">
      <c r="A298" s="91" t="s">
        <v>465</v>
      </c>
      <c r="B298" s="92" t="s">
        <v>280</v>
      </c>
      <c r="C298" s="91" t="s">
        <v>465</v>
      </c>
      <c r="D298" s="91" t="s">
        <v>256</v>
      </c>
      <c r="E298" s="93">
        <v>35919</v>
      </c>
      <c r="F298" s="94">
        <f t="shared" ca="1" si="11"/>
        <v>18</v>
      </c>
      <c r="G298" s="95" t="s">
        <v>283</v>
      </c>
      <c r="H298" s="96">
        <v>25310</v>
      </c>
      <c r="I298" s="97">
        <v>4</v>
      </c>
    </row>
    <row r="299" spans="1:9" ht="13.5" x14ac:dyDescent="0.25">
      <c r="A299" s="91" t="s">
        <v>465</v>
      </c>
      <c r="B299" s="92" t="s">
        <v>251</v>
      </c>
      <c r="C299" s="91" t="s">
        <v>465</v>
      </c>
      <c r="D299" s="91" t="s">
        <v>247</v>
      </c>
      <c r="E299" s="93">
        <v>36016</v>
      </c>
      <c r="F299" s="94">
        <f t="shared" ca="1" si="11"/>
        <v>18</v>
      </c>
      <c r="G299" s="95"/>
      <c r="H299" s="96">
        <v>52770</v>
      </c>
      <c r="I299" s="97">
        <v>2</v>
      </c>
    </row>
    <row r="300" spans="1:9" ht="13.5" x14ac:dyDescent="0.25">
      <c r="A300" s="91" t="s">
        <v>465</v>
      </c>
      <c r="B300" s="92" t="s">
        <v>271</v>
      </c>
      <c r="C300" s="91" t="s">
        <v>465</v>
      </c>
      <c r="D300" s="91" t="s">
        <v>256</v>
      </c>
      <c r="E300" s="93">
        <v>36021</v>
      </c>
      <c r="F300" s="94">
        <f t="shared" ca="1" si="11"/>
        <v>18</v>
      </c>
      <c r="G300" s="95" t="s">
        <v>283</v>
      </c>
      <c r="H300" s="96">
        <v>62750</v>
      </c>
      <c r="I300" s="97">
        <v>3</v>
      </c>
    </row>
    <row r="301" spans="1:9" ht="13.5" x14ac:dyDescent="0.25">
      <c r="A301" s="91" t="s">
        <v>465</v>
      </c>
      <c r="B301" s="92" t="s">
        <v>285</v>
      </c>
      <c r="C301" s="91" t="s">
        <v>465</v>
      </c>
      <c r="D301" s="91" t="s">
        <v>256</v>
      </c>
      <c r="E301" s="93">
        <v>36084</v>
      </c>
      <c r="F301" s="94">
        <f t="shared" ca="1" si="11"/>
        <v>18</v>
      </c>
      <c r="G301" s="95" t="s">
        <v>257</v>
      </c>
      <c r="H301" s="96">
        <v>28970</v>
      </c>
      <c r="I301" s="97">
        <v>3</v>
      </c>
    </row>
    <row r="302" spans="1:9" ht="13.5" x14ac:dyDescent="0.25">
      <c r="A302" s="91" t="s">
        <v>465</v>
      </c>
      <c r="B302" s="92" t="s">
        <v>271</v>
      </c>
      <c r="C302" s="91" t="s">
        <v>465</v>
      </c>
      <c r="D302" s="91" t="s">
        <v>256</v>
      </c>
      <c r="E302" s="93">
        <v>36126</v>
      </c>
      <c r="F302" s="94">
        <f t="shared" ca="1" si="11"/>
        <v>17</v>
      </c>
      <c r="G302" s="95" t="s">
        <v>267</v>
      </c>
      <c r="H302" s="96">
        <v>64130</v>
      </c>
      <c r="I302" s="97">
        <v>1</v>
      </c>
    </row>
    <row r="303" spans="1:9" ht="13.5" x14ac:dyDescent="0.25">
      <c r="A303" s="91" t="s">
        <v>465</v>
      </c>
      <c r="B303" s="92" t="s">
        <v>271</v>
      </c>
      <c r="C303" s="91" t="s">
        <v>465</v>
      </c>
      <c r="D303" s="91" t="s">
        <v>256</v>
      </c>
      <c r="E303" s="93">
        <v>36199</v>
      </c>
      <c r="F303" s="94">
        <f t="shared" ca="1" si="11"/>
        <v>17</v>
      </c>
      <c r="G303" s="95" t="s">
        <v>283</v>
      </c>
      <c r="H303" s="96">
        <v>69080</v>
      </c>
      <c r="I303" s="97">
        <v>3</v>
      </c>
    </row>
    <row r="304" spans="1:9" ht="13.5" x14ac:dyDescent="0.25">
      <c r="A304" s="91" t="s">
        <v>465</v>
      </c>
      <c r="B304" s="92" t="s">
        <v>245</v>
      </c>
      <c r="C304" s="91" t="s">
        <v>465</v>
      </c>
      <c r="D304" s="91" t="s">
        <v>261</v>
      </c>
      <c r="E304" s="93">
        <v>36310</v>
      </c>
      <c r="F304" s="94">
        <f t="shared" ca="1" si="11"/>
        <v>17</v>
      </c>
      <c r="G304" s="95" t="s">
        <v>257</v>
      </c>
      <c r="H304" s="96">
        <v>24460</v>
      </c>
      <c r="I304" s="97">
        <v>1</v>
      </c>
    </row>
    <row r="305" spans="1:9" ht="13.5" x14ac:dyDescent="0.25">
      <c r="A305" s="91" t="s">
        <v>465</v>
      </c>
      <c r="B305" s="92" t="s">
        <v>285</v>
      </c>
      <c r="C305" s="91" t="s">
        <v>465</v>
      </c>
      <c r="D305" s="91" t="s">
        <v>247</v>
      </c>
      <c r="E305" s="93">
        <v>36324</v>
      </c>
      <c r="F305" s="94">
        <f t="shared" ca="1" si="11"/>
        <v>17</v>
      </c>
      <c r="G305" s="95"/>
      <c r="H305" s="96">
        <v>61370</v>
      </c>
      <c r="I305" s="97">
        <v>3</v>
      </c>
    </row>
    <row r="306" spans="1:9" ht="13.5" x14ac:dyDescent="0.25">
      <c r="A306" s="91" t="s">
        <v>465</v>
      </c>
      <c r="B306" s="92" t="s">
        <v>285</v>
      </c>
      <c r="C306" s="91" t="s">
        <v>465</v>
      </c>
      <c r="D306" s="91" t="s">
        <v>252</v>
      </c>
      <c r="E306" s="93">
        <v>36420</v>
      </c>
      <c r="F306" s="94">
        <f t="shared" ca="1" si="11"/>
        <v>17</v>
      </c>
      <c r="G306" s="95"/>
      <c r="H306" s="96">
        <v>8892</v>
      </c>
      <c r="I306" s="97">
        <v>1</v>
      </c>
    </row>
    <row r="307" spans="1:9" ht="13.5" x14ac:dyDescent="0.25">
      <c r="A307" s="91" t="s">
        <v>465</v>
      </c>
      <c r="B307" s="92" t="s">
        <v>266</v>
      </c>
      <c r="C307" s="91" t="s">
        <v>465</v>
      </c>
      <c r="D307" s="91" t="s">
        <v>247</v>
      </c>
      <c r="E307" s="93">
        <v>36510</v>
      </c>
      <c r="F307" s="94">
        <f t="shared" ca="1" si="11"/>
        <v>16</v>
      </c>
      <c r="G307" s="95"/>
      <c r="H307" s="96">
        <v>75420</v>
      </c>
      <c r="I307" s="97">
        <v>1</v>
      </c>
    </row>
    <row r="308" spans="1:9" ht="13.5" x14ac:dyDescent="0.25">
      <c r="A308" s="91" t="s">
        <v>465</v>
      </c>
      <c r="B308" s="92" t="s">
        <v>285</v>
      </c>
      <c r="C308" s="91" t="s">
        <v>465</v>
      </c>
      <c r="D308" s="91" t="s">
        <v>256</v>
      </c>
      <c r="E308" s="93">
        <v>36556</v>
      </c>
      <c r="F308" s="94">
        <f t="shared" ca="1" si="11"/>
        <v>16</v>
      </c>
      <c r="G308" s="95" t="s">
        <v>262</v>
      </c>
      <c r="H308" s="96">
        <v>54230</v>
      </c>
      <c r="I308" s="97">
        <v>5</v>
      </c>
    </row>
    <row r="309" spans="1:9" ht="13.5" x14ac:dyDescent="0.25">
      <c r="A309" s="91" t="s">
        <v>465</v>
      </c>
      <c r="B309" s="92" t="s">
        <v>266</v>
      </c>
      <c r="C309" s="91" t="s">
        <v>465</v>
      </c>
      <c r="D309" s="91" t="s">
        <v>247</v>
      </c>
      <c r="E309" s="93">
        <v>36589</v>
      </c>
      <c r="F309" s="94">
        <f t="shared" ca="1" si="11"/>
        <v>16</v>
      </c>
      <c r="G309" s="95"/>
      <c r="H309" s="96">
        <v>64220</v>
      </c>
      <c r="I309" s="97">
        <v>5</v>
      </c>
    </row>
    <row r="310" spans="1:9" ht="13.5" x14ac:dyDescent="0.25">
      <c r="A310" s="91" t="s">
        <v>465</v>
      </c>
      <c r="B310" s="92" t="s">
        <v>266</v>
      </c>
      <c r="C310" s="91" t="s">
        <v>465</v>
      </c>
      <c r="D310" s="91" t="s">
        <v>256</v>
      </c>
      <c r="E310" s="93">
        <v>36626</v>
      </c>
      <c r="F310" s="94">
        <f t="shared" ca="1" si="11"/>
        <v>16</v>
      </c>
      <c r="G310" s="95" t="s">
        <v>283</v>
      </c>
      <c r="H310" s="96">
        <v>30920</v>
      </c>
      <c r="I310" s="97">
        <v>5</v>
      </c>
    </row>
    <row r="311" spans="1:9" ht="13.5" x14ac:dyDescent="0.25">
      <c r="A311" s="91" t="s">
        <v>465</v>
      </c>
      <c r="B311" s="92" t="s">
        <v>271</v>
      </c>
      <c r="C311" s="91" t="s">
        <v>465</v>
      </c>
      <c r="D311" s="91" t="s">
        <v>256</v>
      </c>
      <c r="E311" s="93">
        <v>36633</v>
      </c>
      <c r="F311" s="94">
        <f t="shared" ca="1" si="11"/>
        <v>16</v>
      </c>
      <c r="G311" s="95" t="s">
        <v>257</v>
      </c>
      <c r="H311" s="96">
        <v>75176</v>
      </c>
      <c r="I311" s="97">
        <v>3</v>
      </c>
    </row>
    <row r="312" spans="1:9" ht="13.5" x14ac:dyDescent="0.25">
      <c r="A312" s="91" t="s">
        <v>465</v>
      </c>
      <c r="B312" s="92" t="s">
        <v>285</v>
      </c>
      <c r="C312" s="91" t="s">
        <v>465</v>
      </c>
      <c r="D312" s="91" t="s">
        <v>247</v>
      </c>
      <c r="E312" s="93">
        <v>36734</v>
      </c>
      <c r="F312" s="94">
        <f t="shared" ca="1" si="11"/>
        <v>16</v>
      </c>
      <c r="G312" s="95"/>
      <c r="H312" s="96">
        <v>57410</v>
      </c>
      <c r="I312" s="97">
        <v>2</v>
      </c>
    </row>
    <row r="313" spans="1:9" ht="13.5" x14ac:dyDescent="0.25">
      <c r="A313" s="91" t="s">
        <v>465</v>
      </c>
      <c r="B313" s="92" t="s">
        <v>285</v>
      </c>
      <c r="C313" s="91" t="s">
        <v>465</v>
      </c>
      <c r="D313" s="91" t="s">
        <v>247</v>
      </c>
      <c r="E313" s="93">
        <v>36763</v>
      </c>
      <c r="F313" s="94">
        <f t="shared" ca="1" si="11"/>
        <v>16</v>
      </c>
      <c r="G313" s="95"/>
      <c r="H313" s="96">
        <v>39300</v>
      </c>
      <c r="I313" s="97">
        <v>2</v>
      </c>
    </row>
    <row r="314" spans="1:9" ht="13.5" x14ac:dyDescent="0.25">
      <c r="A314" s="91" t="s">
        <v>465</v>
      </c>
      <c r="B314" s="92" t="s">
        <v>245</v>
      </c>
      <c r="C314" s="91" t="s">
        <v>465</v>
      </c>
      <c r="D314" s="91" t="s">
        <v>256</v>
      </c>
      <c r="E314" s="93">
        <v>36836</v>
      </c>
      <c r="F314" s="94">
        <f t="shared" ca="1" si="11"/>
        <v>16</v>
      </c>
      <c r="G314" s="95" t="s">
        <v>257</v>
      </c>
      <c r="H314" s="96">
        <v>47340</v>
      </c>
      <c r="I314" s="97">
        <v>2</v>
      </c>
    </row>
    <row r="315" spans="1:9" ht="13.5" x14ac:dyDescent="0.25">
      <c r="A315" s="91" t="s">
        <v>465</v>
      </c>
      <c r="B315" s="92" t="s">
        <v>245</v>
      </c>
      <c r="C315" s="91" t="s">
        <v>465</v>
      </c>
      <c r="D315" s="91" t="s">
        <v>247</v>
      </c>
      <c r="E315" s="93">
        <v>36979</v>
      </c>
      <c r="F315" s="94">
        <f t="shared" ca="1" si="11"/>
        <v>15</v>
      </c>
      <c r="G315" s="95"/>
      <c r="H315" s="96">
        <v>71830</v>
      </c>
      <c r="I315" s="97">
        <v>3</v>
      </c>
    </row>
    <row r="316" spans="1:9" ht="13.5" x14ac:dyDescent="0.25">
      <c r="A316" s="91" t="s">
        <v>465</v>
      </c>
      <c r="B316" s="92" t="s">
        <v>285</v>
      </c>
      <c r="C316" s="91" t="s">
        <v>465</v>
      </c>
      <c r="D316" s="91" t="s">
        <v>247</v>
      </c>
      <c r="E316" s="93">
        <v>37011</v>
      </c>
      <c r="F316" s="94">
        <f t="shared" ca="1" si="11"/>
        <v>15</v>
      </c>
      <c r="G316" s="95"/>
      <c r="H316" s="96">
        <v>37980</v>
      </c>
      <c r="I316" s="97">
        <v>4</v>
      </c>
    </row>
    <row r="317" spans="1:9" ht="13.5" x14ac:dyDescent="0.25">
      <c r="A317" s="91" t="s">
        <v>465</v>
      </c>
      <c r="B317" s="92" t="s">
        <v>266</v>
      </c>
      <c r="C317" s="91" t="s">
        <v>465</v>
      </c>
      <c r="D317" s="91" t="s">
        <v>256</v>
      </c>
      <c r="E317" s="93">
        <v>37011</v>
      </c>
      <c r="F317" s="94">
        <f t="shared" ca="1" si="11"/>
        <v>15</v>
      </c>
      <c r="G317" s="95" t="s">
        <v>262</v>
      </c>
      <c r="H317" s="96">
        <v>70760</v>
      </c>
      <c r="I317" s="97">
        <v>1</v>
      </c>
    </row>
    <row r="318" spans="1:9" ht="13.5" x14ac:dyDescent="0.25">
      <c r="A318" s="91" t="s">
        <v>465</v>
      </c>
      <c r="B318" s="92" t="s">
        <v>285</v>
      </c>
      <c r="C318" s="91" t="s">
        <v>465</v>
      </c>
      <c r="D318" s="91" t="s">
        <v>256</v>
      </c>
      <c r="E318" s="93">
        <v>37067</v>
      </c>
      <c r="F318" s="94">
        <f t="shared" ca="1" si="11"/>
        <v>15</v>
      </c>
      <c r="G318" s="95" t="s">
        <v>257</v>
      </c>
      <c r="H318" s="96">
        <v>87760</v>
      </c>
      <c r="I318" s="97">
        <v>1</v>
      </c>
    </row>
    <row r="319" spans="1:9" ht="13.5" x14ac:dyDescent="0.25">
      <c r="A319" s="91" t="s">
        <v>465</v>
      </c>
      <c r="B319" s="92" t="s">
        <v>280</v>
      </c>
      <c r="C319" s="91" t="s">
        <v>465</v>
      </c>
      <c r="D319" s="91" t="s">
        <v>256</v>
      </c>
      <c r="E319" s="93">
        <v>37067</v>
      </c>
      <c r="F319" s="94">
        <f t="shared" ca="1" si="11"/>
        <v>15</v>
      </c>
      <c r="G319" s="95" t="s">
        <v>257</v>
      </c>
      <c r="H319" s="96">
        <v>41060</v>
      </c>
      <c r="I319" s="97">
        <v>3</v>
      </c>
    </row>
    <row r="320" spans="1:9" ht="13.5" x14ac:dyDescent="0.25">
      <c r="A320" s="91" t="s">
        <v>465</v>
      </c>
      <c r="B320" s="92" t="s">
        <v>285</v>
      </c>
      <c r="C320" s="91" t="s">
        <v>465</v>
      </c>
      <c r="D320" s="91" t="s">
        <v>247</v>
      </c>
      <c r="E320" s="93">
        <v>37197</v>
      </c>
      <c r="F320" s="94">
        <f t="shared" ca="1" si="11"/>
        <v>15</v>
      </c>
      <c r="G320" s="95"/>
      <c r="H320" s="96">
        <v>40940</v>
      </c>
      <c r="I320" s="97">
        <v>2</v>
      </c>
    </row>
    <row r="321" spans="1:9" ht="13.5" x14ac:dyDescent="0.25">
      <c r="A321" s="91" t="s">
        <v>465</v>
      </c>
      <c r="B321" s="92" t="s">
        <v>245</v>
      </c>
      <c r="C321" s="91" t="s">
        <v>465</v>
      </c>
      <c r="D321" s="91" t="s">
        <v>247</v>
      </c>
      <c r="E321" s="93">
        <v>37227</v>
      </c>
      <c r="F321" s="94">
        <f t="shared" ca="1" si="11"/>
        <v>14</v>
      </c>
      <c r="G321" s="95"/>
      <c r="H321" s="96">
        <v>39680</v>
      </c>
      <c r="I321" s="97">
        <v>1</v>
      </c>
    </row>
    <row r="322" spans="1:9" ht="13.5" x14ac:dyDescent="0.25">
      <c r="A322" s="91" t="s">
        <v>465</v>
      </c>
      <c r="B322" s="92" t="s">
        <v>285</v>
      </c>
      <c r="C322" s="91" t="s">
        <v>465</v>
      </c>
      <c r="D322" s="91" t="s">
        <v>256</v>
      </c>
      <c r="E322" s="93">
        <v>37354</v>
      </c>
      <c r="F322" s="94">
        <f t="shared" ca="1" si="11"/>
        <v>14</v>
      </c>
      <c r="G322" s="95" t="s">
        <v>257</v>
      </c>
      <c r="H322" s="96">
        <v>61060</v>
      </c>
      <c r="I322" s="97">
        <v>5</v>
      </c>
    </row>
    <row r="323" spans="1:9" ht="13.5" x14ac:dyDescent="0.25">
      <c r="A323" s="91" t="s">
        <v>465</v>
      </c>
      <c r="B323" s="92" t="s">
        <v>245</v>
      </c>
      <c r="C323" s="91" t="s">
        <v>465</v>
      </c>
      <c r="D323" s="91" t="s">
        <v>256</v>
      </c>
      <c r="E323" s="93">
        <v>37423</v>
      </c>
      <c r="F323" s="94">
        <f t="shared" ca="1" si="11"/>
        <v>14</v>
      </c>
      <c r="G323" s="95" t="s">
        <v>276</v>
      </c>
      <c r="H323" s="96">
        <v>68710</v>
      </c>
      <c r="I323" s="97">
        <v>4</v>
      </c>
    </row>
    <row r="324" spans="1:9" ht="13.5" x14ac:dyDescent="0.25">
      <c r="A324" s="91" t="s">
        <v>465</v>
      </c>
      <c r="B324" s="92" t="s">
        <v>245</v>
      </c>
      <c r="C324" s="91" t="s">
        <v>465</v>
      </c>
      <c r="D324" s="91" t="s">
        <v>256</v>
      </c>
      <c r="E324" s="93">
        <v>37499</v>
      </c>
      <c r="F324" s="94">
        <f t="shared" ca="1" si="11"/>
        <v>14</v>
      </c>
      <c r="G324" s="95" t="s">
        <v>262</v>
      </c>
      <c r="H324" s="96">
        <v>76584</v>
      </c>
      <c r="I324" s="97">
        <v>1</v>
      </c>
    </row>
    <row r="325" spans="1:9" ht="13.5" x14ac:dyDescent="0.25">
      <c r="A325" s="91" t="s">
        <v>465</v>
      </c>
      <c r="B325" s="92" t="s">
        <v>285</v>
      </c>
      <c r="C325" s="91" t="s">
        <v>465</v>
      </c>
      <c r="D325" s="91" t="s">
        <v>256</v>
      </c>
      <c r="E325" s="93">
        <v>37511</v>
      </c>
      <c r="F325" s="94">
        <f t="shared" ca="1" si="11"/>
        <v>14</v>
      </c>
      <c r="G325" s="95" t="s">
        <v>283</v>
      </c>
      <c r="H325" s="96">
        <v>65720</v>
      </c>
      <c r="I325" s="97">
        <v>1</v>
      </c>
    </row>
    <row r="326" spans="1:9" ht="13.5" x14ac:dyDescent="0.25">
      <c r="A326" s="91" t="s">
        <v>465</v>
      </c>
      <c r="B326" s="92" t="s">
        <v>285</v>
      </c>
      <c r="C326" s="91" t="s">
        <v>465</v>
      </c>
      <c r="D326" s="91" t="s">
        <v>256</v>
      </c>
      <c r="E326" s="93">
        <v>37522</v>
      </c>
      <c r="F326" s="94">
        <f t="shared" ca="1" si="11"/>
        <v>14</v>
      </c>
      <c r="G326" s="95" t="s">
        <v>276</v>
      </c>
      <c r="H326" s="96">
        <v>29420</v>
      </c>
      <c r="I326" s="97">
        <v>5</v>
      </c>
    </row>
    <row r="327" spans="1:9" ht="13.5" x14ac:dyDescent="0.25">
      <c r="A327" s="91" t="s">
        <v>465</v>
      </c>
      <c r="B327" s="92" t="s">
        <v>280</v>
      </c>
      <c r="C327" s="91" t="s">
        <v>465</v>
      </c>
      <c r="D327" s="91" t="s">
        <v>247</v>
      </c>
      <c r="E327" s="93">
        <v>37564</v>
      </c>
      <c r="F327" s="94">
        <f t="shared" ref="F327:F352" ca="1" si="12">DATEDIF(E327,TODAY(),"Y")</f>
        <v>14</v>
      </c>
      <c r="G327" s="95"/>
      <c r="H327" s="96">
        <v>59330</v>
      </c>
      <c r="I327" s="97">
        <v>4</v>
      </c>
    </row>
    <row r="328" spans="1:9" ht="13.5" x14ac:dyDescent="0.25">
      <c r="A328" s="91" t="s">
        <v>465</v>
      </c>
      <c r="B328" s="92" t="s">
        <v>251</v>
      </c>
      <c r="C328" s="91" t="s">
        <v>465</v>
      </c>
      <c r="D328" s="91" t="s">
        <v>247</v>
      </c>
      <c r="E328" s="93">
        <v>37602</v>
      </c>
      <c r="F328" s="94">
        <f t="shared" ca="1" si="12"/>
        <v>13</v>
      </c>
      <c r="G328" s="95"/>
      <c r="H328" s="96">
        <v>80330</v>
      </c>
      <c r="I328" s="97">
        <v>4</v>
      </c>
    </row>
    <row r="329" spans="1:9" ht="13.5" x14ac:dyDescent="0.25">
      <c r="A329" s="91" t="s">
        <v>465</v>
      </c>
      <c r="B329" s="92" t="s">
        <v>245</v>
      </c>
      <c r="C329" s="91" t="s">
        <v>465</v>
      </c>
      <c r="D329" s="91" t="s">
        <v>252</v>
      </c>
      <c r="E329" s="93">
        <v>37777</v>
      </c>
      <c r="F329" s="94">
        <f t="shared" ca="1" si="12"/>
        <v>13</v>
      </c>
      <c r="G329" s="95"/>
      <c r="H329" s="96">
        <v>14416</v>
      </c>
      <c r="I329" s="97">
        <v>4</v>
      </c>
    </row>
    <row r="330" spans="1:9" ht="13.5" x14ac:dyDescent="0.25">
      <c r="A330" s="91" t="s">
        <v>465</v>
      </c>
      <c r="B330" s="92" t="s">
        <v>285</v>
      </c>
      <c r="C330" s="91" t="s">
        <v>465</v>
      </c>
      <c r="D330" s="91" t="s">
        <v>247</v>
      </c>
      <c r="E330" s="93">
        <v>37879</v>
      </c>
      <c r="F330" s="94">
        <f t="shared" ca="1" si="12"/>
        <v>13</v>
      </c>
      <c r="G330" s="95"/>
      <c r="H330" s="96">
        <v>63850</v>
      </c>
      <c r="I330" s="97">
        <v>2</v>
      </c>
    </row>
    <row r="331" spans="1:9" ht="13.5" x14ac:dyDescent="0.25">
      <c r="A331" s="91" t="s">
        <v>465</v>
      </c>
      <c r="B331" s="92" t="s">
        <v>266</v>
      </c>
      <c r="C331" s="91" t="s">
        <v>465</v>
      </c>
      <c r="D331" s="91" t="s">
        <v>256</v>
      </c>
      <c r="E331" s="93">
        <v>38002</v>
      </c>
      <c r="F331" s="94">
        <f t="shared" ca="1" si="12"/>
        <v>12</v>
      </c>
      <c r="G331" s="95" t="s">
        <v>262</v>
      </c>
      <c r="H331" s="96">
        <v>71030</v>
      </c>
      <c r="I331" s="97">
        <v>3</v>
      </c>
    </row>
    <row r="332" spans="1:9" ht="13.5" x14ac:dyDescent="0.25">
      <c r="A332" s="91" t="s">
        <v>465</v>
      </c>
      <c r="B332" s="92" t="s">
        <v>280</v>
      </c>
      <c r="C332" s="91" t="s">
        <v>465</v>
      </c>
      <c r="D332" s="91" t="s">
        <v>256</v>
      </c>
      <c r="E332" s="93">
        <v>38038</v>
      </c>
      <c r="F332" s="94">
        <f t="shared" ca="1" si="12"/>
        <v>12</v>
      </c>
      <c r="G332" s="95" t="s">
        <v>257</v>
      </c>
      <c r="H332" s="96">
        <v>46220</v>
      </c>
      <c r="I332" s="97">
        <v>2</v>
      </c>
    </row>
    <row r="333" spans="1:9" ht="13.5" x14ac:dyDescent="0.25">
      <c r="A333" s="91" t="s">
        <v>465</v>
      </c>
      <c r="B333" s="92" t="s">
        <v>271</v>
      </c>
      <c r="C333" s="91" t="s">
        <v>465</v>
      </c>
      <c r="D333" s="91" t="s">
        <v>256</v>
      </c>
      <c r="E333" s="93">
        <v>38080</v>
      </c>
      <c r="F333" s="94">
        <f t="shared" ca="1" si="12"/>
        <v>12</v>
      </c>
      <c r="G333" s="95" t="s">
        <v>267</v>
      </c>
      <c r="H333" s="96">
        <v>71490</v>
      </c>
      <c r="I333" s="97">
        <v>5</v>
      </c>
    </row>
    <row r="334" spans="1:9" ht="13.5" x14ac:dyDescent="0.25">
      <c r="A334" s="91" t="s">
        <v>465</v>
      </c>
      <c r="B334" s="92" t="s">
        <v>266</v>
      </c>
      <c r="C334" s="91" t="s">
        <v>465</v>
      </c>
      <c r="D334" s="91" t="s">
        <v>256</v>
      </c>
      <c r="E334" s="93">
        <v>38145</v>
      </c>
      <c r="F334" s="94">
        <f t="shared" ca="1" si="12"/>
        <v>12</v>
      </c>
      <c r="G334" s="95" t="s">
        <v>283</v>
      </c>
      <c r="H334" s="96">
        <v>59420</v>
      </c>
      <c r="I334" s="97">
        <v>4</v>
      </c>
    </row>
    <row r="335" spans="1:9" ht="13.5" x14ac:dyDescent="0.25">
      <c r="A335" s="91" t="s">
        <v>465</v>
      </c>
      <c r="B335" s="92" t="s">
        <v>245</v>
      </c>
      <c r="C335" s="91" t="s">
        <v>465</v>
      </c>
      <c r="D335" s="91" t="s">
        <v>247</v>
      </c>
      <c r="E335" s="93">
        <v>38228</v>
      </c>
      <c r="F335" s="94">
        <f t="shared" ca="1" si="12"/>
        <v>12</v>
      </c>
      <c r="G335" s="95"/>
      <c r="H335" s="96">
        <v>62780</v>
      </c>
      <c r="I335" s="97">
        <v>4</v>
      </c>
    </row>
    <row r="336" spans="1:9" ht="13.5" x14ac:dyDescent="0.25">
      <c r="A336" s="91" t="s">
        <v>465</v>
      </c>
      <c r="B336" s="92" t="s">
        <v>271</v>
      </c>
      <c r="C336" s="91" t="s">
        <v>465</v>
      </c>
      <c r="D336" s="91" t="s">
        <v>247</v>
      </c>
      <c r="E336" s="93">
        <v>38235</v>
      </c>
      <c r="F336" s="94">
        <f t="shared" ca="1" si="12"/>
        <v>12</v>
      </c>
      <c r="G336" s="95"/>
      <c r="H336" s="96">
        <v>84170</v>
      </c>
      <c r="I336" s="97">
        <v>2</v>
      </c>
    </row>
    <row r="337" spans="1:9" ht="13.5" x14ac:dyDescent="0.25">
      <c r="A337" s="91" t="s">
        <v>465</v>
      </c>
      <c r="B337" s="92" t="s">
        <v>271</v>
      </c>
      <c r="C337" s="91" t="s">
        <v>465</v>
      </c>
      <c r="D337" s="91" t="s">
        <v>256</v>
      </c>
      <c r="E337" s="93">
        <v>38386</v>
      </c>
      <c r="F337" s="94">
        <f t="shared" ca="1" si="12"/>
        <v>11</v>
      </c>
      <c r="G337" s="95" t="s">
        <v>257</v>
      </c>
      <c r="H337" s="96">
        <v>69320</v>
      </c>
      <c r="I337" s="97">
        <v>3</v>
      </c>
    </row>
    <row r="338" spans="1:9" ht="13.5" x14ac:dyDescent="0.25">
      <c r="A338" s="91" t="s">
        <v>465</v>
      </c>
      <c r="B338" s="92" t="s">
        <v>266</v>
      </c>
      <c r="C338" s="91" t="s">
        <v>465</v>
      </c>
      <c r="D338" s="91" t="s">
        <v>252</v>
      </c>
      <c r="E338" s="93">
        <v>38437</v>
      </c>
      <c r="F338" s="94">
        <f t="shared" ca="1" si="12"/>
        <v>11</v>
      </c>
      <c r="G338" s="95"/>
      <c r="H338" s="96">
        <v>10572</v>
      </c>
      <c r="I338" s="97">
        <v>4</v>
      </c>
    </row>
    <row r="339" spans="1:9" ht="13.5" x14ac:dyDescent="0.25">
      <c r="A339" s="91" t="s">
        <v>465</v>
      </c>
      <c r="B339" s="92" t="s">
        <v>245</v>
      </c>
      <c r="C339" s="91" t="s">
        <v>465</v>
      </c>
      <c r="D339" s="91" t="s">
        <v>247</v>
      </c>
      <c r="E339" s="93">
        <v>38512</v>
      </c>
      <c r="F339" s="94">
        <f t="shared" ca="1" si="12"/>
        <v>11</v>
      </c>
      <c r="G339" s="95"/>
      <c r="H339" s="96">
        <v>60040</v>
      </c>
      <c r="I339" s="97">
        <v>5</v>
      </c>
    </row>
    <row r="340" spans="1:9" ht="13.5" x14ac:dyDescent="0.25">
      <c r="A340" s="91" t="s">
        <v>465</v>
      </c>
      <c r="B340" s="92" t="s">
        <v>245</v>
      </c>
      <c r="C340" s="91" t="s">
        <v>465</v>
      </c>
      <c r="D340" s="91" t="s">
        <v>247</v>
      </c>
      <c r="E340" s="93">
        <v>38520</v>
      </c>
      <c r="F340" s="94">
        <f t="shared" ca="1" si="12"/>
        <v>11</v>
      </c>
      <c r="G340" s="95"/>
      <c r="H340" s="96">
        <v>78520</v>
      </c>
      <c r="I340" s="97">
        <v>4</v>
      </c>
    </row>
    <row r="341" spans="1:9" ht="13.5" x14ac:dyDescent="0.25">
      <c r="A341" s="91" t="s">
        <v>465</v>
      </c>
      <c r="B341" s="92" t="s">
        <v>280</v>
      </c>
      <c r="C341" s="91" t="s">
        <v>465</v>
      </c>
      <c r="D341" s="91" t="s">
        <v>256</v>
      </c>
      <c r="E341" s="93">
        <v>38662</v>
      </c>
      <c r="F341" s="94">
        <f t="shared" ca="1" si="12"/>
        <v>11</v>
      </c>
      <c r="G341" s="95" t="s">
        <v>257</v>
      </c>
      <c r="H341" s="96">
        <v>78170</v>
      </c>
      <c r="I341" s="97">
        <v>5</v>
      </c>
    </row>
    <row r="342" spans="1:9" ht="13.5" x14ac:dyDescent="0.25">
      <c r="A342" s="91" t="s">
        <v>465</v>
      </c>
      <c r="B342" s="92" t="s">
        <v>266</v>
      </c>
      <c r="C342" s="91" t="s">
        <v>465</v>
      </c>
      <c r="D342" s="91" t="s">
        <v>256</v>
      </c>
      <c r="E342" s="93">
        <v>38865</v>
      </c>
      <c r="F342" s="94">
        <f t="shared" ca="1" si="12"/>
        <v>10</v>
      </c>
      <c r="G342" s="95" t="s">
        <v>267</v>
      </c>
      <c r="H342" s="96">
        <v>34690</v>
      </c>
      <c r="I342" s="97">
        <v>2</v>
      </c>
    </row>
    <row r="343" spans="1:9" ht="13.5" x14ac:dyDescent="0.25">
      <c r="A343" s="91" t="s">
        <v>465</v>
      </c>
      <c r="B343" s="92" t="s">
        <v>285</v>
      </c>
      <c r="C343" s="91" t="s">
        <v>465</v>
      </c>
      <c r="D343" s="91" t="s">
        <v>256</v>
      </c>
      <c r="E343" s="93">
        <v>38893</v>
      </c>
      <c r="F343" s="94">
        <f t="shared" ca="1" si="12"/>
        <v>10</v>
      </c>
      <c r="G343" s="95" t="s">
        <v>257</v>
      </c>
      <c r="H343" s="96">
        <v>35600</v>
      </c>
      <c r="I343" s="97">
        <v>5</v>
      </c>
    </row>
    <row r="344" spans="1:9" ht="13.5" x14ac:dyDescent="0.25">
      <c r="A344" s="91" t="s">
        <v>465</v>
      </c>
      <c r="B344" s="92" t="s">
        <v>271</v>
      </c>
      <c r="C344" s="91" t="s">
        <v>465</v>
      </c>
      <c r="D344" s="91" t="s">
        <v>256</v>
      </c>
      <c r="E344" s="93">
        <v>38960</v>
      </c>
      <c r="F344" s="94">
        <f t="shared" ca="1" si="12"/>
        <v>10</v>
      </c>
      <c r="G344" s="95" t="s">
        <v>283</v>
      </c>
      <c r="H344" s="96">
        <v>35300</v>
      </c>
      <c r="I344" s="97">
        <v>5</v>
      </c>
    </row>
    <row r="345" spans="1:9" ht="13.5" x14ac:dyDescent="0.25">
      <c r="A345" s="91" t="s">
        <v>465</v>
      </c>
      <c r="B345" s="92" t="s">
        <v>285</v>
      </c>
      <c r="C345" s="91" t="s">
        <v>465</v>
      </c>
      <c r="D345" s="91" t="s">
        <v>247</v>
      </c>
      <c r="E345" s="99">
        <v>39139</v>
      </c>
      <c r="F345" s="94">
        <f t="shared" ca="1" si="12"/>
        <v>9</v>
      </c>
      <c r="G345" s="95"/>
      <c r="H345" s="96">
        <v>88840</v>
      </c>
      <c r="I345" s="97">
        <v>5</v>
      </c>
    </row>
    <row r="346" spans="1:9" ht="13.5" x14ac:dyDescent="0.25">
      <c r="A346" s="91" t="s">
        <v>465</v>
      </c>
      <c r="B346" s="92" t="s">
        <v>271</v>
      </c>
      <c r="C346" s="91" t="s">
        <v>465</v>
      </c>
      <c r="D346" s="91" t="s">
        <v>247</v>
      </c>
      <c r="E346" s="93">
        <v>39160</v>
      </c>
      <c r="F346" s="94">
        <f t="shared" ca="1" si="12"/>
        <v>9</v>
      </c>
      <c r="G346" s="95"/>
      <c r="H346" s="96">
        <v>37840</v>
      </c>
      <c r="I346" s="97">
        <v>1</v>
      </c>
    </row>
    <row r="347" spans="1:9" ht="13.5" x14ac:dyDescent="0.25">
      <c r="A347" s="91" t="s">
        <v>465</v>
      </c>
      <c r="B347" s="92" t="s">
        <v>271</v>
      </c>
      <c r="C347" s="91" t="s">
        <v>465</v>
      </c>
      <c r="D347" s="91" t="s">
        <v>247</v>
      </c>
      <c r="E347" s="93">
        <v>39160</v>
      </c>
      <c r="F347" s="94">
        <f t="shared" ca="1" si="12"/>
        <v>9</v>
      </c>
      <c r="G347" s="95"/>
      <c r="H347" s="96">
        <v>37840</v>
      </c>
      <c r="I347" s="97">
        <v>1</v>
      </c>
    </row>
    <row r="348" spans="1:9" ht="13.5" x14ac:dyDescent="0.25">
      <c r="A348" s="91" t="s">
        <v>465</v>
      </c>
      <c r="B348" s="92" t="s">
        <v>271</v>
      </c>
      <c r="C348" s="91" t="s">
        <v>465</v>
      </c>
      <c r="D348" s="91" t="s">
        <v>252</v>
      </c>
      <c r="E348" s="93">
        <v>39264</v>
      </c>
      <c r="F348" s="94">
        <f t="shared" ca="1" si="12"/>
        <v>9</v>
      </c>
      <c r="G348" s="95"/>
      <c r="H348" s="96">
        <v>28424</v>
      </c>
      <c r="I348" s="97">
        <v>4</v>
      </c>
    </row>
    <row r="349" spans="1:9" ht="13.5" x14ac:dyDescent="0.25">
      <c r="A349" s="91" t="s">
        <v>465</v>
      </c>
      <c r="B349" s="92" t="s">
        <v>245</v>
      </c>
      <c r="C349" s="91" t="s">
        <v>465</v>
      </c>
      <c r="D349" s="91" t="s">
        <v>256</v>
      </c>
      <c r="E349" s="93">
        <v>39268</v>
      </c>
      <c r="F349" s="94">
        <f t="shared" ca="1" si="12"/>
        <v>9</v>
      </c>
      <c r="G349" s="95" t="s">
        <v>257</v>
      </c>
      <c r="H349" s="96">
        <v>43820</v>
      </c>
      <c r="I349" s="97">
        <v>2</v>
      </c>
    </row>
    <row r="350" spans="1:9" ht="13.5" x14ac:dyDescent="0.25">
      <c r="A350" s="91" t="s">
        <v>465</v>
      </c>
      <c r="B350" s="92" t="s">
        <v>285</v>
      </c>
      <c r="C350" s="91" t="s">
        <v>465</v>
      </c>
      <c r="D350" s="91" t="s">
        <v>256</v>
      </c>
      <c r="E350" s="99">
        <v>39293</v>
      </c>
      <c r="F350" s="94">
        <f t="shared" ca="1" si="12"/>
        <v>9</v>
      </c>
      <c r="G350" s="95" t="s">
        <v>267</v>
      </c>
      <c r="H350" s="96">
        <v>44260</v>
      </c>
      <c r="I350" s="97">
        <v>1</v>
      </c>
    </row>
    <row r="351" spans="1:9" ht="13.5" x14ac:dyDescent="0.25">
      <c r="A351" s="91" t="s">
        <v>465</v>
      </c>
      <c r="B351" s="92" t="s">
        <v>271</v>
      </c>
      <c r="C351" s="91" t="s">
        <v>465</v>
      </c>
      <c r="D351" s="91" t="s">
        <v>256</v>
      </c>
      <c r="E351" s="93">
        <v>39324</v>
      </c>
      <c r="F351" s="94">
        <f t="shared" ca="1" si="12"/>
        <v>9</v>
      </c>
      <c r="G351" s="95" t="s">
        <v>257</v>
      </c>
      <c r="H351" s="96">
        <v>47440</v>
      </c>
      <c r="I351" s="97">
        <v>3</v>
      </c>
    </row>
    <row r="352" spans="1:9" ht="13.5" x14ac:dyDescent="0.25">
      <c r="A352" s="91" t="s">
        <v>465</v>
      </c>
      <c r="B352" s="92" t="s">
        <v>271</v>
      </c>
      <c r="C352" s="91" t="s">
        <v>465</v>
      </c>
      <c r="D352" s="91" t="s">
        <v>247</v>
      </c>
      <c r="E352" s="99">
        <v>39370</v>
      </c>
      <c r="F352" s="94">
        <f t="shared" ca="1" si="12"/>
        <v>9</v>
      </c>
      <c r="G352" s="95"/>
      <c r="H352" s="96">
        <v>57110</v>
      </c>
      <c r="I352" s="97">
        <v>3</v>
      </c>
    </row>
    <row r="353" spans="1:9" ht="13.5" x14ac:dyDescent="0.25">
      <c r="A353" s="98" t="s">
        <v>1047</v>
      </c>
      <c r="B353" s="92"/>
      <c r="C353" s="98"/>
      <c r="D353" s="91"/>
      <c r="E353" s="99"/>
      <c r="F353" s="94"/>
      <c r="G353" s="95"/>
      <c r="H353" s="96"/>
      <c r="I353" s="97"/>
    </row>
    <row r="354" spans="1:9" ht="13.5" x14ac:dyDescent="0.25">
      <c r="A354" s="91" t="s">
        <v>618</v>
      </c>
      <c r="B354" s="92" t="s">
        <v>280</v>
      </c>
      <c r="C354" s="91" t="s">
        <v>618</v>
      </c>
      <c r="D354" s="91" t="s">
        <v>256</v>
      </c>
      <c r="E354" s="93">
        <v>32522</v>
      </c>
      <c r="F354" s="94">
        <f t="shared" ref="F354:F360" ca="1" si="13">DATEDIF(E354,TODAY(),"Y")</f>
        <v>27</v>
      </c>
      <c r="G354" s="95" t="s">
        <v>257</v>
      </c>
      <c r="H354" s="96">
        <v>39160</v>
      </c>
      <c r="I354" s="97">
        <v>3</v>
      </c>
    </row>
    <row r="355" spans="1:9" ht="13.5" x14ac:dyDescent="0.25">
      <c r="A355" s="91" t="s">
        <v>618</v>
      </c>
      <c r="B355" s="92" t="s">
        <v>245</v>
      </c>
      <c r="C355" s="91" t="s">
        <v>618</v>
      </c>
      <c r="D355" s="91" t="s">
        <v>247</v>
      </c>
      <c r="E355" s="93">
        <v>35455</v>
      </c>
      <c r="F355" s="94">
        <f t="shared" ca="1" si="13"/>
        <v>19</v>
      </c>
      <c r="G355" s="95"/>
      <c r="H355" s="96">
        <v>74500</v>
      </c>
      <c r="I355" s="97">
        <v>4</v>
      </c>
    </row>
    <row r="356" spans="1:9" ht="13.5" x14ac:dyDescent="0.25">
      <c r="A356" s="91" t="s">
        <v>618</v>
      </c>
      <c r="B356" s="92" t="s">
        <v>251</v>
      </c>
      <c r="C356" s="91" t="s">
        <v>618</v>
      </c>
      <c r="D356" s="91" t="s">
        <v>256</v>
      </c>
      <c r="E356" s="93">
        <v>36097</v>
      </c>
      <c r="F356" s="94">
        <f t="shared" ca="1" si="13"/>
        <v>18</v>
      </c>
      <c r="G356" s="95" t="s">
        <v>257</v>
      </c>
      <c r="H356" s="96">
        <v>59140</v>
      </c>
      <c r="I356" s="97">
        <v>5</v>
      </c>
    </row>
    <row r="357" spans="1:9" ht="13.5" x14ac:dyDescent="0.25">
      <c r="A357" s="91" t="s">
        <v>618</v>
      </c>
      <c r="B357" s="92" t="s">
        <v>285</v>
      </c>
      <c r="C357" s="91" t="s">
        <v>618</v>
      </c>
      <c r="D357" s="91" t="s">
        <v>256</v>
      </c>
      <c r="E357" s="93">
        <v>36626</v>
      </c>
      <c r="F357" s="94">
        <f t="shared" ca="1" si="13"/>
        <v>16</v>
      </c>
      <c r="G357" s="95" t="s">
        <v>283</v>
      </c>
      <c r="H357" s="96">
        <v>53870</v>
      </c>
      <c r="I357" s="97">
        <v>2</v>
      </c>
    </row>
    <row r="358" spans="1:9" ht="13.5" x14ac:dyDescent="0.25">
      <c r="A358" s="91" t="s">
        <v>618</v>
      </c>
      <c r="B358" s="92" t="s">
        <v>245</v>
      </c>
      <c r="C358" s="91" t="s">
        <v>618</v>
      </c>
      <c r="D358" s="91" t="s">
        <v>256</v>
      </c>
      <c r="E358" s="93">
        <v>37728</v>
      </c>
      <c r="F358" s="94">
        <f t="shared" ca="1" si="13"/>
        <v>13</v>
      </c>
      <c r="G358" s="95" t="s">
        <v>276</v>
      </c>
      <c r="H358" s="96">
        <v>71400</v>
      </c>
      <c r="I358" s="97">
        <v>4</v>
      </c>
    </row>
    <row r="359" spans="1:9" ht="13.5" x14ac:dyDescent="0.25">
      <c r="A359" s="91" t="s">
        <v>618</v>
      </c>
      <c r="B359" s="92" t="s">
        <v>266</v>
      </c>
      <c r="C359" s="91" t="s">
        <v>618</v>
      </c>
      <c r="D359" s="91" t="s">
        <v>247</v>
      </c>
      <c r="E359" s="99">
        <v>38982</v>
      </c>
      <c r="F359" s="94">
        <f t="shared" ca="1" si="13"/>
        <v>10</v>
      </c>
      <c r="G359" s="95"/>
      <c r="H359" s="96">
        <v>61890</v>
      </c>
      <c r="I359" s="97">
        <v>2</v>
      </c>
    </row>
    <row r="360" spans="1:9" ht="13.5" x14ac:dyDescent="0.25">
      <c r="A360" s="91" t="s">
        <v>618</v>
      </c>
      <c r="B360" s="92" t="s">
        <v>266</v>
      </c>
      <c r="C360" s="91" t="s">
        <v>618</v>
      </c>
      <c r="D360" s="91" t="s">
        <v>256</v>
      </c>
      <c r="E360" s="99">
        <v>39003</v>
      </c>
      <c r="F360" s="94">
        <f t="shared" ca="1" si="13"/>
        <v>10</v>
      </c>
      <c r="G360" s="95" t="s">
        <v>283</v>
      </c>
      <c r="H360" s="96">
        <v>27250</v>
      </c>
      <c r="I360" s="97">
        <v>5</v>
      </c>
    </row>
    <row r="361" spans="1:9" ht="13.5" x14ac:dyDescent="0.25">
      <c r="A361" s="98" t="s">
        <v>1048</v>
      </c>
      <c r="B361" s="92"/>
      <c r="C361" s="98"/>
      <c r="D361" s="91"/>
      <c r="E361" s="99"/>
      <c r="F361" s="94"/>
      <c r="G361" s="95"/>
      <c r="H361" s="96"/>
      <c r="I361" s="97"/>
    </row>
    <row r="362" spans="1:9" ht="13.5" x14ac:dyDescent="0.25">
      <c r="A362" s="91" t="s">
        <v>626</v>
      </c>
      <c r="B362" s="92" t="s">
        <v>245</v>
      </c>
      <c r="C362" s="91" t="s">
        <v>626</v>
      </c>
      <c r="D362" s="91" t="s">
        <v>256</v>
      </c>
      <c r="E362" s="93">
        <v>31913</v>
      </c>
      <c r="F362" s="94">
        <f t="shared" ref="F362:F416" ca="1" si="14">DATEDIF(E362,TODAY(),"Y")</f>
        <v>29</v>
      </c>
      <c r="G362" s="95" t="s">
        <v>262</v>
      </c>
      <c r="H362" s="96">
        <v>31260</v>
      </c>
      <c r="I362" s="97">
        <v>5</v>
      </c>
    </row>
    <row r="363" spans="1:9" ht="13.5" x14ac:dyDescent="0.25">
      <c r="A363" s="91" t="s">
        <v>626</v>
      </c>
      <c r="B363" s="92" t="s">
        <v>280</v>
      </c>
      <c r="C363" s="91" t="s">
        <v>626</v>
      </c>
      <c r="D363" s="91" t="s">
        <v>256</v>
      </c>
      <c r="E363" s="93">
        <v>31937</v>
      </c>
      <c r="F363" s="94">
        <f t="shared" ca="1" si="14"/>
        <v>29</v>
      </c>
      <c r="G363" s="95" t="s">
        <v>257</v>
      </c>
      <c r="H363" s="96">
        <v>62740</v>
      </c>
      <c r="I363" s="97">
        <v>4</v>
      </c>
    </row>
    <row r="364" spans="1:9" ht="13.5" x14ac:dyDescent="0.25">
      <c r="A364" s="91" t="s">
        <v>626</v>
      </c>
      <c r="B364" s="92" t="s">
        <v>285</v>
      </c>
      <c r="C364" s="91" t="s">
        <v>626</v>
      </c>
      <c r="D364" s="91" t="s">
        <v>252</v>
      </c>
      <c r="E364" s="93">
        <v>31995</v>
      </c>
      <c r="F364" s="94">
        <f t="shared" ca="1" si="14"/>
        <v>29</v>
      </c>
      <c r="G364" s="95"/>
      <c r="H364" s="96">
        <v>36844</v>
      </c>
      <c r="I364" s="97">
        <v>4</v>
      </c>
    </row>
    <row r="365" spans="1:9" ht="13.5" x14ac:dyDescent="0.25">
      <c r="A365" s="91" t="s">
        <v>626</v>
      </c>
      <c r="B365" s="92" t="s">
        <v>271</v>
      </c>
      <c r="C365" s="91" t="s">
        <v>626</v>
      </c>
      <c r="D365" s="91" t="s">
        <v>261</v>
      </c>
      <c r="E365" s="93">
        <v>32009</v>
      </c>
      <c r="F365" s="94">
        <f t="shared" ca="1" si="14"/>
        <v>29</v>
      </c>
      <c r="G365" s="95" t="s">
        <v>267</v>
      </c>
      <c r="H365" s="96">
        <v>13090</v>
      </c>
      <c r="I365" s="97">
        <v>4</v>
      </c>
    </row>
    <row r="366" spans="1:9" ht="13.5" x14ac:dyDescent="0.25">
      <c r="A366" s="91" t="s">
        <v>626</v>
      </c>
      <c r="B366" s="92" t="s">
        <v>251</v>
      </c>
      <c r="C366" s="91" t="s">
        <v>626</v>
      </c>
      <c r="D366" s="91" t="s">
        <v>256</v>
      </c>
      <c r="E366" s="93">
        <v>32097</v>
      </c>
      <c r="F366" s="94">
        <f t="shared" ca="1" si="14"/>
        <v>29</v>
      </c>
      <c r="G366" s="95" t="s">
        <v>257</v>
      </c>
      <c r="H366" s="96">
        <v>22900</v>
      </c>
      <c r="I366" s="97">
        <v>1</v>
      </c>
    </row>
    <row r="367" spans="1:9" ht="13.5" x14ac:dyDescent="0.25">
      <c r="A367" s="91" t="s">
        <v>626</v>
      </c>
      <c r="B367" s="92" t="s">
        <v>285</v>
      </c>
      <c r="C367" s="91" t="s">
        <v>626</v>
      </c>
      <c r="D367" s="91" t="s">
        <v>256</v>
      </c>
      <c r="E367" s="93">
        <v>32296</v>
      </c>
      <c r="F367" s="94">
        <f t="shared" ca="1" si="14"/>
        <v>28</v>
      </c>
      <c r="G367" s="95" t="s">
        <v>262</v>
      </c>
      <c r="H367" s="96">
        <v>87120</v>
      </c>
      <c r="I367" s="97">
        <v>3</v>
      </c>
    </row>
    <row r="368" spans="1:9" ht="13.5" x14ac:dyDescent="0.25">
      <c r="A368" s="91" t="s">
        <v>626</v>
      </c>
      <c r="B368" s="92" t="s">
        <v>285</v>
      </c>
      <c r="C368" s="91" t="s">
        <v>626</v>
      </c>
      <c r="D368" s="91" t="s">
        <v>256</v>
      </c>
      <c r="E368" s="93">
        <v>32385</v>
      </c>
      <c r="F368" s="94">
        <f t="shared" ca="1" si="14"/>
        <v>28</v>
      </c>
      <c r="G368" s="95" t="s">
        <v>262</v>
      </c>
      <c r="H368" s="96">
        <v>60560</v>
      </c>
      <c r="I368" s="97">
        <v>4</v>
      </c>
    </row>
    <row r="369" spans="1:9" ht="13.5" x14ac:dyDescent="0.25">
      <c r="A369" s="91" t="s">
        <v>626</v>
      </c>
      <c r="B369" s="92" t="s">
        <v>245</v>
      </c>
      <c r="C369" s="91" t="s">
        <v>626</v>
      </c>
      <c r="D369" s="91" t="s">
        <v>256</v>
      </c>
      <c r="E369" s="93">
        <v>32392</v>
      </c>
      <c r="F369" s="94">
        <f t="shared" ca="1" si="14"/>
        <v>28</v>
      </c>
      <c r="G369" s="95" t="s">
        <v>257</v>
      </c>
      <c r="H369" s="96">
        <v>37020</v>
      </c>
      <c r="I369" s="97">
        <v>2</v>
      </c>
    </row>
    <row r="370" spans="1:9" ht="13.5" x14ac:dyDescent="0.25">
      <c r="A370" s="91" t="s">
        <v>626</v>
      </c>
      <c r="B370" s="92" t="s">
        <v>251</v>
      </c>
      <c r="C370" s="91" t="s">
        <v>626</v>
      </c>
      <c r="D370" s="91" t="s">
        <v>256</v>
      </c>
      <c r="E370" s="93">
        <v>32455</v>
      </c>
      <c r="F370" s="94">
        <f t="shared" ca="1" si="14"/>
        <v>28</v>
      </c>
      <c r="G370" s="95" t="s">
        <v>262</v>
      </c>
      <c r="H370" s="96">
        <v>73930</v>
      </c>
      <c r="I370" s="97">
        <v>1</v>
      </c>
    </row>
    <row r="371" spans="1:9" ht="13.5" x14ac:dyDescent="0.25">
      <c r="A371" s="91" t="s">
        <v>626</v>
      </c>
      <c r="B371" s="92" t="s">
        <v>285</v>
      </c>
      <c r="C371" s="91" t="s">
        <v>626</v>
      </c>
      <c r="D371" s="91" t="s">
        <v>256</v>
      </c>
      <c r="E371" s="93">
        <v>32724</v>
      </c>
      <c r="F371" s="94">
        <f t="shared" ca="1" si="14"/>
        <v>27</v>
      </c>
      <c r="G371" s="95" t="s">
        <v>267</v>
      </c>
      <c r="H371" s="96">
        <v>45180</v>
      </c>
      <c r="I371" s="97">
        <v>5</v>
      </c>
    </row>
    <row r="372" spans="1:9" ht="13.5" x14ac:dyDescent="0.25">
      <c r="A372" s="91" t="s">
        <v>626</v>
      </c>
      <c r="B372" s="92" t="s">
        <v>266</v>
      </c>
      <c r="C372" s="91" t="s">
        <v>626</v>
      </c>
      <c r="D372" s="91" t="s">
        <v>247</v>
      </c>
      <c r="E372" s="93">
        <v>32744</v>
      </c>
      <c r="F372" s="94">
        <f t="shared" ca="1" si="14"/>
        <v>27</v>
      </c>
      <c r="G372" s="95"/>
      <c r="H372" s="96">
        <v>29000</v>
      </c>
      <c r="I372" s="97">
        <v>5</v>
      </c>
    </row>
    <row r="373" spans="1:9" ht="13.5" x14ac:dyDescent="0.25">
      <c r="A373" s="91" t="s">
        <v>626</v>
      </c>
      <c r="B373" s="92" t="s">
        <v>285</v>
      </c>
      <c r="C373" s="91" t="s">
        <v>626</v>
      </c>
      <c r="D373" s="91" t="s">
        <v>256</v>
      </c>
      <c r="E373" s="93">
        <v>32757</v>
      </c>
      <c r="F373" s="94">
        <f t="shared" ca="1" si="14"/>
        <v>27</v>
      </c>
      <c r="G373" s="95" t="s">
        <v>267</v>
      </c>
      <c r="H373" s="96">
        <v>86540</v>
      </c>
      <c r="I373" s="97">
        <v>4</v>
      </c>
    </row>
    <row r="374" spans="1:9" ht="13.5" x14ac:dyDescent="0.25">
      <c r="A374" s="91" t="s">
        <v>626</v>
      </c>
      <c r="B374" s="92" t="s">
        <v>285</v>
      </c>
      <c r="C374" s="91" t="s">
        <v>626</v>
      </c>
      <c r="D374" s="91" t="s">
        <v>256</v>
      </c>
      <c r="E374" s="93">
        <v>32867</v>
      </c>
      <c r="F374" s="94">
        <f t="shared" ca="1" si="14"/>
        <v>26</v>
      </c>
      <c r="G374" s="95" t="s">
        <v>283</v>
      </c>
      <c r="H374" s="96">
        <v>65250</v>
      </c>
      <c r="I374" s="97">
        <v>2</v>
      </c>
    </row>
    <row r="375" spans="1:9" ht="13.5" x14ac:dyDescent="0.25">
      <c r="A375" s="91" t="s">
        <v>626</v>
      </c>
      <c r="B375" s="92" t="s">
        <v>285</v>
      </c>
      <c r="C375" s="91" t="s">
        <v>626</v>
      </c>
      <c r="D375" s="91" t="s">
        <v>256</v>
      </c>
      <c r="E375" s="93">
        <v>33565</v>
      </c>
      <c r="F375" s="94">
        <f t="shared" ca="1" si="14"/>
        <v>24</v>
      </c>
      <c r="G375" s="95" t="s">
        <v>276</v>
      </c>
      <c r="H375" s="96">
        <v>66920</v>
      </c>
      <c r="I375" s="97">
        <v>2</v>
      </c>
    </row>
    <row r="376" spans="1:9" ht="13.5" x14ac:dyDescent="0.25">
      <c r="A376" s="91" t="s">
        <v>626</v>
      </c>
      <c r="B376" s="92" t="s">
        <v>280</v>
      </c>
      <c r="C376" s="91" t="s">
        <v>626</v>
      </c>
      <c r="D376" s="91" t="s">
        <v>247</v>
      </c>
      <c r="E376" s="93">
        <v>33637</v>
      </c>
      <c r="F376" s="94">
        <f t="shared" ca="1" si="14"/>
        <v>24</v>
      </c>
      <c r="G376" s="95"/>
      <c r="H376" s="96">
        <v>81930</v>
      </c>
      <c r="I376" s="97">
        <v>5</v>
      </c>
    </row>
    <row r="377" spans="1:9" ht="13.5" x14ac:dyDescent="0.25">
      <c r="A377" s="91" t="s">
        <v>626</v>
      </c>
      <c r="B377" s="92" t="s">
        <v>280</v>
      </c>
      <c r="C377" s="91" t="s">
        <v>626</v>
      </c>
      <c r="D377" s="91" t="s">
        <v>247</v>
      </c>
      <c r="E377" s="93">
        <v>33637</v>
      </c>
      <c r="F377" s="94">
        <f t="shared" ca="1" si="14"/>
        <v>24</v>
      </c>
      <c r="G377" s="95"/>
      <c r="H377" s="96">
        <v>81930</v>
      </c>
      <c r="I377" s="97">
        <v>5</v>
      </c>
    </row>
    <row r="378" spans="1:9" ht="13.5" x14ac:dyDescent="0.25">
      <c r="A378" s="91" t="s">
        <v>626</v>
      </c>
      <c r="B378" s="92" t="s">
        <v>245</v>
      </c>
      <c r="C378" s="91" t="s">
        <v>626</v>
      </c>
      <c r="D378" s="91" t="s">
        <v>256</v>
      </c>
      <c r="E378" s="93">
        <v>33910</v>
      </c>
      <c r="F378" s="94">
        <f t="shared" ca="1" si="14"/>
        <v>24</v>
      </c>
      <c r="G378" s="95" t="s">
        <v>267</v>
      </c>
      <c r="H378" s="96">
        <v>70480</v>
      </c>
      <c r="I378" s="97">
        <v>4</v>
      </c>
    </row>
    <row r="379" spans="1:9" ht="13.5" x14ac:dyDescent="0.25">
      <c r="A379" s="91" t="s">
        <v>626</v>
      </c>
      <c r="B379" s="92" t="s">
        <v>245</v>
      </c>
      <c r="C379" s="91" t="s">
        <v>626</v>
      </c>
      <c r="D379" s="91" t="s">
        <v>256</v>
      </c>
      <c r="E379" s="93">
        <v>33944</v>
      </c>
      <c r="F379" s="94">
        <f t="shared" ca="1" si="14"/>
        <v>23</v>
      </c>
      <c r="G379" s="95" t="s">
        <v>257</v>
      </c>
      <c r="H379" s="96">
        <v>48800</v>
      </c>
      <c r="I379" s="97">
        <v>4</v>
      </c>
    </row>
    <row r="380" spans="1:9" ht="13.5" x14ac:dyDescent="0.25">
      <c r="A380" s="91" t="s">
        <v>626</v>
      </c>
      <c r="B380" s="92" t="s">
        <v>251</v>
      </c>
      <c r="C380" s="91" t="s">
        <v>626</v>
      </c>
      <c r="D380" s="91" t="s">
        <v>256</v>
      </c>
      <c r="E380" s="93">
        <v>33972</v>
      </c>
      <c r="F380" s="94">
        <f t="shared" ca="1" si="14"/>
        <v>23</v>
      </c>
      <c r="G380" s="95" t="s">
        <v>257</v>
      </c>
      <c r="H380" s="96">
        <v>57560</v>
      </c>
      <c r="I380" s="97">
        <v>4</v>
      </c>
    </row>
    <row r="381" spans="1:9" ht="13.5" x14ac:dyDescent="0.25">
      <c r="A381" s="91" t="s">
        <v>626</v>
      </c>
      <c r="B381" s="92" t="s">
        <v>266</v>
      </c>
      <c r="C381" s="91" t="s">
        <v>626</v>
      </c>
      <c r="D381" s="91" t="s">
        <v>247</v>
      </c>
      <c r="E381" s="93">
        <v>34208</v>
      </c>
      <c r="F381" s="94">
        <f t="shared" ca="1" si="14"/>
        <v>23</v>
      </c>
      <c r="G381" s="95"/>
      <c r="H381" s="96">
        <v>53870</v>
      </c>
      <c r="I381" s="97">
        <v>2</v>
      </c>
    </row>
    <row r="382" spans="1:9" ht="13.5" x14ac:dyDescent="0.25">
      <c r="A382" s="91" t="s">
        <v>626</v>
      </c>
      <c r="B382" s="92" t="s">
        <v>285</v>
      </c>
      <c r="C382" s="91" t="s">
        <v>626</v>
      </c>
      <c r="D382" s="91" t="s">
        <v>256</v>
      </c>
      <c r="E382" s="93">
        <v>34237</v>
      </c>
      <c r="F382" s="94">
        <f t="shared" ca="1" si="14"/>
        <v>23</v>
      </c>
      <c r="G382" s="95" t="s">
        <v>257</v>
      </c>
      <c r="H382" s="96">
        <v>81640</v>
      </c>
      <c r="I382" s="97">
        <v>4</v>
      </c>
    </row>
    <row r="383" spans="1:9" ht="13.5" x14ac:dyDescent="0.25">
      <c r="A383" s="91" t="s">
        <v>626</v>
      </c>
      <c r="B383" s="92" t="s">
        <v>285</v>
      </c>
      <c r="C383" s="91" t="s">
        <v>626</v>
      </c>
      <c r="D383" s="91" t="s">
        <v>256</v>
      </c>
      <c r="E383" s="93">
        <v>34237</v>
      </c>
      <c r="F383" s="94">
        <f t="shared" ca="1" si="14"/>
        <v>23</v>
      </c>
      <c r="G383" s="95" t="s">
        <v>257</v>
      </c>
      <c r="H383" s="96">
        <v>81640</v>
      </c>
      <c r="I383" s="97">
        <v>4</v>
      </c>
    </row>
    <row r="384" spans="1:9" ht="13.5" x14ac:dyDescent="0.25">
      <c r="A384" s="91" t="s">
        <v>626</v>
      </c>
      <c r="B384" s="92" t="s">
        <v>285</v>
      </c>
      <c r="C384" s="91" t="s">
        <v>626</v>
      </c>
      <c r="D384" s="91" t="s">
        <v>247</v>
      </c>
      <c r="E384" s="93">
        <v>34372</v>
      </c>
      <c r="F384" s="94">
        <f t="shared" ca="1" si="14"/>
        <v>22</v>
      </c>
      <c r="G384" s="95"/>
      <c r="H384" s="96">
        <v>63850</v>
      </c>
      <c r="I384" s="97">
        <v>2</v>
      </c>
    </row>
    <row r="385" spans="1:9" ht="13.5" x14ac:dyDescent="0.25">
      <c r="A385" s="91" t="s">
        <v>626</v>
      </c>
      <c r="B385" s="92" t="s">
        <v>271</v>
      </c>
      <c r="C385" s="91" t="s">
        <v>626</v>
      </c>
      <c r="D385" s="91" t="s">
        <v>247</v>
      </c>
      <c r="E385" s="93">
        <v>34466</v>
      </c>
      <c r="F385" s="94">
        <f t="shared" ca="1" si="14"/>
        <v>22</v>
      </c>
      <c r="G385" s="95"/>
      <c r="H385" s="96">
        <v>77930</v>
      </c>
      <c r="I385" s="97">
        <v>5</v>
      </c>
    </row>
    <row r="386" spans="1:9" ht="13.5" x14ac:dyDescent="0.25">
      <c r="A386" s="91" t="s">
        <v>626</v>
      </c>
      <c r="B386" s="92" t="s">
        <v>245</v>
      </c>
      <c r="C386" s="91" t="s">
        <v>626</v>
      </c>
      <c r="D386" s="91" t="s">
        <v>256</v>
      </c>
      <c r="E386" s="93">
        <v>34546</v>
      </c>
      <c r="F386" s="94">
        <f t="shared" ca="1" si="14"/>
        <v>22</v>
      </c>
      <c r="G386" s="95" t="s">
        <v>276</v>
      </c>
      <c r="H386" s="96">
        <v>86830</v>
      </c>
      <c r="I386" s="97">
        <v>3</v>
      </c>
    </row>
    <row r="387" spans="1:9" ht="13.5" x14ac:dyDescent="0.25">
      <c r="A387" s="91" t="s">
        <v>626</v>
      </c>
      <c r="B387" s="92" t="s">
        <v>271</v>
      </c>
      <c r="C387" s="91" t="s">
        <v>626</v>
      </c>
      <c r="D387" s="91" t="s">
        <v>256</v>
      </c>
      <c r="E387" s="93">
        <v>34547</v>
      </c>
      <c r="F387" s="94">
        <f t="shared" ca="1" si="14"/>
        <v>22</v>
      </c>
      <c r="G387" s="95" t="s">
        <v>283</v>
      </c>
      <c r="H387" s="96">
        <v>82110</v>
      </c>
      <c r="I387" s="97">
        <v>3</v>
      </c>
    </row>
    <row r="388" spans="1:9" ht="13.5" x14ac:dyDescent="0.25">
      <c r="A388" s="91" t="s">
        <v>626</v>
      </c>
      <c r="B388" s="92" t="s">
        <v>285</v>
      </c>
      <c r="C388" s="91" t="s">
        <v>626</v>
      </c>
      <c r="D388" s="91" t="s">
        <v>261</v>
      </c>
      <c r="E388" s="93">
        <v>34784</v>
      </c>
      <c r="F388" s="94">
        <f t="shared" ca="1" si="14"/>
        <v>21</v>
      </c>
      <c r="G388" s="95" t="s">
        <v>257</v>
      </c>
      <c r="H388" s="96">
        <v>47885</v>
      </c>
      <c r="I388" s="97">
        <v>1</v>
      </c>
    </row>
    <row r="389" spans="1:9" ht="13.5" x14ac:dyDescent="0.25">
      <c r="A389" s="91" t="s">
        <v>626</v>
      </c>
      <c r="B389" s="92" t="s">
        <v>285</v>
      </c>
      <c r="C389" s="91" t="s">
        <v>626</v>
      </c>
      <c r="D389" s="91" t="s">
        <v>256</v>
      </c>
      <c r="E389" s="93">
        <v>34806</v>
      </c>
      <c r="F389" s="94">
        <f t="shared" ca="1" si="14"/>
        <v>21</v>
      </c>
      <c r="G389" s="95" t="s">
        <v>276</v>
      </c>
      <c r="H389" s="96">
        <v>49770</v>
      </c>
      <c r="I389" s="97">
        <v>1</v>
      </c>
    </row>
    <row r="390" spans="1:9" ht="13.5" x14ac:dyDescent="0.25">
      <c r="A390" s="91" t="s">
        <v>626</v>
      </c>
      <c r="B390" s="92" t="s">
        <v>245</v>
      </c>
      <c r="C390" s="91" t="s">
        <v>626</v>
      </c>
      <c r="D390" s="91" t="s">
        <v>261</v>
      </c>
      <c r="E390" s="93">
        <v>34811</v>
      </c>
      <c r="F390" s="94">
        <f t="shared" ca="1" si="14"/>
        <v>21</v>
      </c>
      <c r="G390" s="95" t="s">
        <v>283</v>
      </c>
      <c r="H390" s="96">
        <v>28880</v>
      </c>
      <c r="I390" s="97">
        <v>3</v>
      </c>
    </row>
    <row r="391" spans="1:9" ht="13.5" x14ac:dyDescent="0.25">
      <c r="A391" s="91" t="s">
        <v>626</v>
      </c>
      <c r="B391" s="92" t="s">
        <v>245</v>
      </c>
      <c r="C391" s="91" t="s">
        <v>626</v>
      </c>
      <c r="D391" s="91" t="s">
        <v>247</v>
      </c>
      <c r="E391" s="93">
        <v>34882</v>
      </c>
      <c r="F391" s="94">
        <f t="shared" ca="1" si="14"/>
        <v>21</v>
      </c>
      <c r="G391" s="95"/>
      <c r="H391" s="96">
        <v>47620</v>
      </c>
      <c r="I391" s="97">
        <v>5</v>
      </c>
    </row>
    <row r="392" spans="1:9" ht="13.5" x14ac:dyDescent="0.25">
      <c r="A392" s="91" t="s">
        <v>626</v>
      </c>
      <c r="B392" s="92" t="s">
        <v>251</v>
      </c>
      <c r="C392" s="91" t="s">
        <v>626</v>
      </c>
      <c r="D392" s="91" t="s">
        <v>247</v>
      </c>
      <c r="E392" s="93">
        <v>34889</v>
      </c>
      <c r="F392" s="94">
        <f t="shared" ca="1" si="14"/>
        <v>21</v>
      </c>
      <c r="G392" s="95"/>
      <c r="H392" s="96">
        <v>31270</v>
      </c>
      <c r="I392" s="97">
        <v>5</v>
      </c>
    </row>
    <row r="393" spans="1:9" ht="13.5" x14ac:dyDescent="0.25">
      <c r="A393" s="91" t="s">
        <v>626</v>
      </c>
      <c r="B393" s="92" t="s">
        <v>266</v>
      </c>
      <c r="C393" s="91" t="s">
        <v>626</v>
      </c>
      <c r="D393" s="91" t="s">
        <v>256</v>
      </c>
      <c r="E393" s="93">
        <v>34987</v>
      </c>
      <c r="F393" s="94">
        <f t="shared" ca="1" si="14"/>
        <v>21</v>
      </c>
      <c r="G393" s="95" t="s">
        <v>257</v>
      </c>
      <c r="H393" s="96">
        <v>46030</v>
      </c>
      <c r="I393" s="97">
        <v>2</v>
      </c>
    </row>
    <row r="394" spans="1:9" ht="13.5" x14ac:dyDescent="0.25">
      <c r="A394" s="91" t="s">
        <v>626</v>
      </c>
      <c r="B394" s="92" t="s">
        <v>280</v>
      </c>
      <c r="C394" s="91" t="s">
        <v>626</v>
      </c>
      <c r="D394" s="91" t="s">
        <v>261</v>
      </c>
      <c r="E394" s="93">
        <v>35061</v>
      </c>
      <c r="F394" s="94">
        <f t="shared" ca="1" si="14"/>
        <v>20</v>
      </c>
      <c r="G394" s="95" t="s">
        <v>283</v>
      </c>
      <c r="H394" s="96">
        <v>26790</v>
      </c>
      <c r="I394" s="97">
        <v>2</v>
      </c>
    </row>
    <row r="395" spans="1:9" ht="13.5" x14ac:dyDescent="0.25">
      <c r="A395" s="91" t="s">
        <v>626</v>
      </c>
      <c r="B395" s="92" t="s">
        <v>251</v>
      </c>
      <c r="C395" s="91" t="s">
        <v>626</v>
      </c>
      <c r="D395" s="91" t="s">
        <v>256</v>
      </c>
      <c r="E395" s="93">
        <v>35082</v>
      </c>
      <c r="F395" s="94">
        <f t="shared" ca="1" si="14"/>
        <v>20</v>
      </c>
      <c r="G395" s="95" t="s">
        <v>283</v>
      </c>
      <c r="H395" s="96">
        <v>51410</v>
      </c>
      <c r="I395" s="97">
        <v>4</v>
      </c>
    </row>
    <row r="396" spans="1:9" ht="13.5" x14ac:dyDescent="0.25">
      <c r="A396" s="91" t="s">
        <v>626</v>
      </c>
      <c r="B396" s="92" t="s">
        <v>271</v>
      </c>
      <c r="C396" s="91" t="s">
        <v>626</v>
      </c>
      <c r="D396" s="91" t="s">
        <v>256</v>
      </c>
      <c r="E396" s="93">
        <v>35146</v>
      </c>
      <c r="F396" s="94">
        <f t="shared" ca="1" si="14"/>
        <v>20</v>
      </c>
      <c r="G396" s="95" t="s">
        <v>283</v>
      </c>
      <c r="H396" s="96">
        <v>43460</v>
      </c>
      <c r="I396" s="97">
        <v>5</v>
      </c>
    </row>
    <row r="397" spans="1:9" ht="13.5" x14ac:dyDescent="0.25">
      <c r="A397" s="91" t="s">
        <v>626</v>
      </c>
      <c r="B397" s="92" t="s">
        <v>285</v>
      </c>
      <c r="C397" s="91" t="s">
        <v>626</v>
      </c>
      <c r="D397" s="91" t="s">
        <v>256</v>
      </c>
      <c r="E397" s="93">
        <v>35153</v>
      </c>
      <c r="F397" s="94">
        <f t="shared" ca="1" si="14"/>
        <v>20</v>
      </c>
      <c r="G397" s="95" t="s">
        <v>257</v>
      </c>
      <c r="H397" s="96">
        <v>44220</v>
      </c>
      <c r="I397" s="97">
        <v>3</v>
      </c>
    </row>
    <row r="398" spans="1:9" ht="13.5" x14ac:dyDescent="0.25">
      <c r="A398" s="91" t="s">
        <v>626</v>
      </c>
      <c r="B398" s="92" t="s">
        <v>245</v>
      </c>
      <c r="C398" s="91" t="s">
        <v>626</v>
      </c>
      <c r="D398" s="91" t="s">
        <v>256</v>
      </c>
      <c r="E398" s="93">
        <v>35352</v>
      </c>
      <c r="F398" s="94">
        <f t="shared" ca="1" si="14"/>
        <v>20</v>
      </c>
      <c r="G398" s="95" t="s">
        <v>283</v>
      </c>
      <c r="H398" s="96">
        <v>52490</v>
      </c>
      <c r="I398" s="97">
        <v>4</v>
      </c>
    </row>
    <row r="399" spans="1:9" ht="13.5" x14ac:dyDescent="0.25">
      <c r="A399" s="91" t="s">
        <v>626</v>
      </c>
      <c r="B399" s="92" t="s">
        <v>285</v>
      </c>
      <c r="C399" s="91" t="s">
        <v>626</v>
      </c>
      <c r="D399" s="91" t="s">
        <v>247</v>
      </c>
      <c r="E399" s="93">
        <v>35393</v>
      </c>
      <c r="F399" s="94">
        <f t="shared" ca="1" si="14"/>
        <v>19</v>
      </c>
      <c r="G399" s="95"/>
      <c r="H399" s="96">
        <v>50200</v>
      </c>
      <c r="I399" s="97">
        <v>4</v>
      </c>
    </row>
    <row r="400" spans="1:9" ht="13.5" x14ac:dyDescent="0.25">
      <c r="A400" s="91" t="s">
        <v>626</v>
      </c>
      <c r="B400" s="92" t="s">
        <v>245</v>
      </c>
      <c r="C400" s="91" t="s">
        <v>626</v>
      </c>
      <c r="D400" s="91" t="s">
        <v>256</v>
      </c>
      <c r="E400" s="93">
        <v>35630</v>
      </c>
      <c r="F400" s="94">
        <f t="shared" ca="1" si="14"/>
        <v>19</v>
      </c>
      <c r="G400" s="95" t="s">
        <v>257</v>
      </c>
      <c r="H400" s="96">
        <v>48990</v>
      </c>
      <c r="I400" s="97">
        <v>5</v>
      </c>
    </row>
    <row r="401" spans="1:9" ht="13.5" x14ac:dyDescent="0.25">
      <c r="A401" s="91" t="s">
        <v>626</v>
      </c>
      <c r="B401" s="92" t="s">
        <v>245</v>
      </c>
      <c r="C401" s="91" t="s">
        <v>626</v>
      </c>
      <c r="D401" s="91" t="s">
        <v>261</v>
      </c>
      <c r="E401" s="93">
        <v>35828</v>
      </c>
      <c r="F401" s="94">
        <f t="shared" ca="1" si="14"/>
        <v>18</v>
      </c>
      <c r="G401" s="95" t="s">
        <v>262</v>
      </c>
      <c r="H401" s="96">
        <v>31110</v>
      </c>
      <c r="I401" s="97">
        <v>1</v>
      </c>
    </row>
    <row r="402" spans="1:9" ht="13.5" x14ac:dyDescent="0.25">
      <c r="A402" s="91" t="s">
        <v>626</v>
      </c>
      <c r="B402" s="92" t="s">
        <v>280</v>
      </c>
      <c r="C402" s="91" t="s">
        <v>626</v>
      </c>
      <c r="D402" s="91" t="s">
        <v>261</v>
      </c>
      <c r="E402" s="93">
        <v>35831</v>
      </c>
      <c r="F402" s="94">
        <f t="shared" ca="1" si="14"/>
        <v>18</v>
      </c>
      <c r="G402" s="95" t="s">
        <v>276</v>
      </c>
      <c r="H402" s="96">
        <v>15910</v>
      </c>
      <c r="I402" s="97">
        <v>3</v>
      </c>
    </row>
    <row r="403" spans="1:9" ht="13.5" x14ac:dyDescent="0.25">
      <c r="A403" s="91" t="s">
        <v>626</v>
      </c>
      <c r="B403" s="92" t="s">
        <v>271</v>
      </c>
      <c r="C403" s="91" t="s">
        <v>626</v>
      </c>
      <c r="D403" s="91" t="s">
        <v>261</v>
      </c>
      <c r="E403" s="93">
        <v>35856</v>
      </c>
      <c r="F403" s="94">
        <f t="shared" ca="1" si="14"/>
        <v>18</v>
      </c>
      <c r="G403" s="95" t="s">
        <v>262</v>
      </c>
      <c r="H403" s="96">
        <v>47295</v>
      </c>
      <c r="I403" s="97">
        <v>4</v>
      </c>
    </row>
    <row r="404" spans="1:9" ht="13.5" x14ac:dyDescent="0.25">
      <c r="A404" s="91" t="s">
        <v>626</v>
      </c>
      <c r="B404" s="92" t="s">
        <v>285</v>
      </c>
      <c r="C404" s="91" t="s">
        <v>626</v>
      </c>
      <c r="D404" s="91" t="s">
        <v>261</v>
      </c>
      <c r="E404" s="93">
        <v>37052</v>
      </c>
      <c r="F404" s="94">
        <f t="shared" ca="1" si="14"/>
        <v>15</v>
      </c>
      <c r="G404" s="95" t="s">
        <v>257</v>
      </c>
      <c r="H404" s="96">
        <v>31255</v>
      </c>
      <c r="I404" s="97">
        <v>5</v>
      </c>
    </row>
    <row r="405" spans="1:9" ht="13.5" x14ac:dyDescent="0.25">
      <c r="A405" s="91" t="s">
        <v>626</v>
      </c>
      <c r="B405" s="92" t="s">
        <v>251</v>
      </c>
      <c r="C405" s="91" t="s">
        <v>626</v>
      </c>
      <c r="D405" s="91" t="s">
        <v>247</v>
      </c>
      <c r="E405" s="93">
        <v>37186</v>
      </c>
      <c r="F405" s="94">
        <f t="shared" ca="1" si="14"/>
        <v>15</v>
      </c>
      <c r="G405" s="95"/>
      <c r="H405" s="96">
        <v>57520</v>
      </c>
      <c r="I405" s="97">
        <v>3</v>
      </c>
    </row>
    <row r="406" spans="1:9" ht="13.5" x14ac:dyDescent="0.25">
      <c r="A406" s="91" t="s">
        <v>626</v>
      </c>
      <c r="B406" s="92" t="s">
        <v>245</v>
      </c>
      <c r="C406" s="91" t="s">
        <v>626</v>
      </c>
      <c r="D406" s="91" t="s">
        <v>261</v>
      </c>
      <c r="E406" s="93">
        <v>37788</v>
      </c>
      <c r="F406" s="94">
        <f t="shared" ca="1" si="14"/>
        <v>13</v>
      </c>
      <c r="G406" s="95" t="s">
        <v>283</v>
      </c>
      <c r="H406" s="96">
        <v>47705</v>
      </c>
      <c r="I406" s="97">
        <v>5</v>
      </c>
    </row>
    <row r="407" spans="1:9" ht="13.5" x14ac:dyDescent="0.25">
      <c r="A407" s="91" t="s">
        <v>626</v>
      </c>
      <c r="B407" s="92" t="s">
        <v>245</v>
      </c>
      <c r="C407" s="91" t="s">
        <v>626</v>
      </c>
      <c r="D407" s="91" t="s">
        <v>261</v>
      </c>
      <c r="E407" s="93">
        <v>37788</v>
      </c>
      <c r="F407" s="94">
        <f t="shared" ca="1" si="14"/>
        <v>13</v>
      </c>
      <c r="G407" s="95" t="s">
        <v>283</v>
      </c>
      <c r="H407" s="96">
        <v>47705</v>
      </c>
      <c r="I407" s="97">
        <v>5</v>
      </c>
    </row>
    <row r="408" spans="1:9" ht="13.5" x14ac:dyDescent="0.25">
      <c r="A408" s="91" t="s">
        <v>626</v>
      </c>
      <c r="B408" s="92" t="s">
        <v>245</v>
      </c>
      <c r="C408" s="91" t="s">
        <v>626</v>
      </c>
      <c r="D408" s="91" t="s">
        <v>256</v>
      </c>
      <c r="E408" s="93">
        <v>37847</v>
      </c>
      <c r="F408" s="94">
        <f t="shared" ca="1" si="14"/>
        <v>13</v>
      </c>
      <c r="G408" s="95" t="s">
        <v>283</v>
      </c>
      <c r="H408" s="96">
        <v>47610</v>
      </c>
      <c r="I408" s="97">
        <v>4</v>
      </c>
    </row>
    <row r="409" spans="1:9" ht="13.5" x14ac:dyDescent="0.25">
      <c r="A409" s="91" t="s">
        <v>626</v>
      </c>
      <c r="B409" s="92" t="s">
        <v>271</v>
      </c>
      <c r="C409" s="91" t="s">
        <v>626</v>
      </c>
      <c r="D409" s="91" t="s">
        <v>247</v>
      </c>
      <c r="E409" s="93">
        <v>37973</v>
      </c>
      <c r="F409" s="94">
        <f t="shared" ca="1" si="14"/>
        <v>12</v>
      </c>
      <c r="G409" s="95"/>
      <c r="H409" s="96">
        <v>74470</v>
      </c>
      <c r="I409" s="97">
        <v>3</v>
      </c>
    </row>
    <row r="410" spans="1:9" ht="13.5" x14ac:dyDescent="0.25">
      <c r="A410" s="91" t="s">
        <v>626</v>
      </c>
      <c r="B410" s="92" t="s">
        <v>245</v>
      </c>
      <c r="C410" s="91" t="s">
        <v>626</v>
      </c>
      <c r="D410" s="91" t="s">
        <v>261</v>
      </c>
      <c r="E410" s="93">
        <v>38561</v>
      </c>
      <c r="F410" s="94">
        <f t="shared" ca="1" si="14"/>
        <v>11</v>
      </c>
      <c r="G410" s="95" t="s">
        <v>267</v>
      </c>
      <c r="H410" s="96">
        <v>38575</v>
      </c>
      <c r="I410" s="97">
        <v>2</v>
      </c>
    </row>
    <row r="411" spans="1:9" ht="13.5" x14ac:dyDescent="0.25">
      <c r="A411" s="91" t="s">
        <v>626</v>
      </c>
      <c r="B411" s="92" t="s">
        <v>266</v>
      </c>
      <c r="C411" s="91" t="s">
        <v>626</v>
      </c>
      <c r="D411" s="91" t="s">
        <v>256</v>
      </c>
      <c r="E411" s="93">
        <v>38773</v>
      </c>
      <c r="F411" s="94">
        <f t="shared" ca="1" si="14"/>
        <v>10</v>
      </c>
      <c r="G411" s="95" t="s">
        <v>283</v>
      </c>
      <c r="H411" s="96">
        <v>44150</v>
      </c>
      <c r="I411" s="97">
        <v>4</v>
      </c>
    </row>
    <row r="412" spans="1:9" ht="13.5" x14ac:dyDescent="0.25">
      <c r="A412" s="91" t="s">
        <v>626</v>
      </c>
      <c r="B412" s="92" t="s">
        <v>271</v>
      </c>
      <c r="C412" s="91" t="s">
        <v>626</v>
      </c>
      <c r="D412" s="91" t="s">
        <v>256</v>
      </c>
      <c r="E412" s="93">
        <v>38899</v>
      </c>
      <c r="F412" s="94">
        <f t="shared" ca="1" si="14"/>
        <v>10</v>
      </c>
      <c r="G412" s="95" t="s">
        <v>283</v>
      </c>
      <c r="H412" s="96">
        <v>45260</v>
      </c>
      <c r="I412" s="97">
        <v>4</v>
      </c>
    </row>
    <row r="413" spans="1:9" ht="13.5" x14ac:dyDescent="0.25">
      <c r="A413" s="91" t="s">
        <v>626</v>
      </c>
      <c r="B413" s="92" t="s">
        <v>271</v>
      </c>
      <c r="C413" s="91" t="s">
        <v>626</v>
      </c>
      <c r="D413" s="91" t="s">
        <v>261</v>
      </c>
      <c r="E413" s="93">
        <v>39041</v>
      </c>
      <c r="F413" s="94">
        <f t="shared" ca="1" si="14"/>
        <v>9</v>
      </c>
      <c r="G413" s="95" t="s">
        <v>283</v>
      </c>
      <c r="H413" s="96">
        <v>20040</v>
      </c>
      <c r="I413" s="97">
        <v>3</v>
      </c>
    </row>
    <row r="414" spans="1:9" ht="13.5" x14ac:dyDescent="0.25">
      <c r="A414" s="91" t="s">
        <v>626</v>
      </c>
      <c r="B414" s="92" t="s">
        <v>271</v>
      </c>
      <c r="C414" s="91" t="s">
        <v>626</v>
      </c>
      <c r="D414" s="91" t="s">
        <v>256</v>
      </c>
      <c r="E414" s="93">
        <v>39051</v>
      </c>
      <c r="F414" s="94">
        <f t="shared" ca="1" si="14"/>
        <v>9</v>
      </c>
      <c r="G414" s="95" t="s">
        <v>267</v>
      </c>
      <c r="H414" s="96">
        <v>75780</v>
      </c>
      <c r="I414" s="97">
        <v>2</v>
      </c>
    </row>
    <row r="415" spans="1:9" ht="13.5" x14ac:dyDescent="0.25">
      <c r="A415" s="91" t="s">
        <v>626</v>
      </c>
      <c r="B415" s="92" t="s">
        <v>271</v>
      </c>
      <c r="C415" s="91" t="s">
        <v>626</v>
      </c>
      <c r="D415" s="91" t="s">
        <v>256</v>
      </c>
      <c r="E415" s="93">
        <v>39137</v>
      </c>
      <c r="F415" s="94">
        <f t="shared" ca="1" si="14"/>
        <v>9</v>
      </c>
      <c r="G415" s="95" t="s">
        <v>257</v>
      </c>
      <c r="H415" s="96">
        <v>33970</v>
      </c>
      <c r="I415" s="97">
        <v>4</v>
      </c>
    </row>
    <row r="416" spans="1:9" ht="13.5" x14ac:dyDescent="0.25">
      <c r="A416" s="91" t="s">
        <v>626</v>
      </c>
      <c r="B416" s="92" t="s">
        <v>271</v>
      </c>
      <c r="C416" s="91" t="s">
        <v>626</v>
      </c>
      <c r="D416" s="91" t="s">
        <v>256</v>
      </c>
      <c r="E416" s="93">
        <v>39137</v>
      </c>
      <c r="F416" s="94">
        <f t="shared" ca="1" si="14"/>
        <v>9</v>
      </c>
      <c r="G416" s="95" t="s">
        <v>257</v>
      </c>
      <c r="H416" s="96">
        <v>33970</v>
      </c>
      <c r="I416" s="97">
        <v>4</v>
      </c>
    </row>
    <row r="417" spans="1:9" ht="13.5" x14ac:dyDescent="0.25">
      <c r="A417" s="98" t="s">
        <v>1049</v>
      </c>
      <c r="B417" s="92"/>
      <c r="C417" s="98"/>
      <c r="D417" s="91"/>
      <c r="E417" s="93"/>
      <c r="F417" s="94"/>
      <c r="G417" s="95"/>
      <c r="H417" s="96"/>
      <c r="I417" s="97"/>
    </row>
    <row r="418" spans="1:9" ht="13.5" x14ac:dyDescent="0.25">
      <c r="A418" s="91" t="s">
        <v>678</v>
      </c>
      <c r="B418" s="92" t="s">
        <v>280</v>
      </c>
      <c r="C418" s="91" t="s">
        <v>678</v>
      </c>
      <c r="D418" s="91" t="s">
        <v>256</v>
      </c>
      <c r="E418" s="93">
        <v>32307</v>
      </c>
      <c r="F418" s="94">
        <f t="shared" ref="F418:F438" ca="1" si="15">DATEDIF(E418,TODAY(),"Y")</f>
        <v>28</v>
      </c>
      <c r="G418" s="95" t="s">
        <v>257</v>
      </c>
      <c r="H418" s="96">
        <v>39110</v>
      </c>
      <c r="I418" s="97">
        <v>5</v>
      </c>
    </row>
    <row r="419" spans="1:9" ht="13.5" x14ac:dyDescent="0.25">
      <c r="A419" s="91" t="s">
        <v>678</v>
      </c>
      <c r="B419" s="92" t="s">
        <v>285</v>
      </c>
      <c r="C419" s="91" t="s">
        <v>678</v>
      </c>
      <c r="D419" s="91" t="s">
        <v>256</v>
      </c>
      <c r="E419" s="93">
        <v>32431</v>
      </c>
      <c r="F419" s="94">
        <f t="shared" ca="1" si="15"/>
        <v>28</v>
      </c>
      <c r="G419" s="95" t="s">
        <v>257</v>
      </c>
      <c r="H419" s="96">
        <v>48550</v>
      </c>
      <c r="I419" s="97">
        <v>5</v>
      </c>
    </row>
    <row r="420" spans="1:9" ht="13.5" x14ac:dyDescent="0.25">
      <c r="A420" s="91" t="s">
        <v>678</v>
      </c>
      <c r="B420" s="92" t="s">
        <v>285</v>
      </c>
      <c r="C420" s="91" t="s">
        <v>678</v>
      </c>
      <c r="D420" s="91" t="s">
        <v>256</v>
      </c>
      <c r="E420" s="93">
        <v>32594</v>
      </c>
      <c r="F420" s="94">
        <f t="shared" ca="1" si="15"/>
        <v>27</v>
      </c>
      <c r="G420" s="95" t="s">
        <v>262</v>
      </c>
      <c r="H420" s="96">
        <v>87980</v>
      </c>
      <c r="I420" s="97">
        <v>1</v>
      </c>
    </row>
    <row r="421" spans="1:9" ht="13.5" x14ac:dyDescent="0.25">
      <c r="A421" s="91" t="s">
        <v>678</v>
      </c>
      <c r="B421" s="92" t="s">
        <v>285</v>
      </c>
      <c r="C421" s="91" t="s">
        <v>678</v>
      </c>
      <c r="D421" s="91" t="s">
        <v>256</v>
      </c>
      <c r="E421" s="93">
        <v>33811</v>
      </c>
      <c r="F421" s="94">
        <f t="shared" ca="1" si="15"/>
        <v>24</v>
      </c>
      <c r="G421" s="95" t="s">
        <v>283</v>
      </c>
      <c r="H421" s="96">
        <v>22860</v>
      </c>
      <c r="I421" s="97">
        <v>5</v>
      </c>
    </row>
    <row r="422" spans="1:9" ht="13.5" x14ac:dyDescent="0.25">
      <c r="A422" s="91" t="s">
        <v>678</v>
      </c>
      <c r="B422" s="92" t="s">
        <v>280</v>
      </c>
      <c r="C422" s="91" t="s">
        <v>678</v>
      </c>
      <c r="D422" s="91" t="s">
        <v>261</v>
      </c>
      <c r="E422" s="93">
        <v>33840</v>
      </c>
      <c r="F422" s="94">
        <f t="shared" ca="1" si="15"/>
        <v>24</v>
      </c>
      <c r="G422" s="95" t="s">
        <v>257</v>
      </c>
      <c r="H422" s="96">
        <v>49405</v>
      </c>
      <c r="I422" s="97">
        <v>4</v>
      </c>
    </row>
    <row r="423" spans="1:9" ht="13.5" x14ac:dyDescent="0.25">
      <c r="A423" s="91" t="s">
        <v>678</v>
      </c>
      <c r="B423" s="92" t="s">
        <v>271</v>
      </c>
      <c r="C423" s="91" t="s">
        <v>678</v>
      </c>
      <c r="D423" s="91" t="s">
        <v>252</v>
      </c>
      <c r="E423" s="93">
        <v>34071</v>
      </c>
      <c r="F423" s="94">
        <f t="shared" ca="1" si="15"/>
        <v>23</v>
      </c>
      <c r="G423" s="95"/>
      <c r="H423" s="96">
        <v>35312</v>
      </c>
      <c r="I423" s="97">
        <v>3</v>
      </c>
    </row>
    <row r="424" spans="1:9" ht="13.5" x14ac:dyDescent="0.25">
      <c r="A424" s="91" t="s">
        <v>678</v>
      </c>
      <c r="B424" s="92" t="s">
        <v>285</v>
      </c>
      <c r="C424" s="91" t="s">
        <v>678</v>
      </c>
      <c r="D424" s="91" t="s">
        <v>247</v>
      </c>
      <c r="E424" s="93">
        <v>34137</v>
      </c>
      <c r="F424" s="94">
        <f t="shared" ca="1" si="15"/>
        <v>23</v>
      </c>
      <c r="G424" s="95"/>
      <c r="H424" s="96">
        <v>54190</v>
      </c>
      <c r="I424" s="97">
        <v>4</v>
      </c>
    </row>
    <row r="425" spans="1:9" ht="13.5" x14ac:dyDescent="0.25">
      <c r="A425" s="91" t="s">
        <v>678</v>
      </c>
      <c r="B425" s="92" t="s">
        <v>251</v>
      </c>
      <c r="C425" s="91" t="s">
        <v>678</v>
      </c>
      <c r="D425" s="91" t="s">
        <v>247</v>
      </c>
      <c r="E425" s="93">
        <v>34414</v>
      </c>
      <c r="F425" s="94">
        <f t="shared" ca="1" si="15"/>
        <v>22</v>
      </c>
      <c r="G425" s="95"/>
      <c r="H425" s="96">
        <v>86470</v>
      </c>
      <c r="I425" s="97">
        <v>4</v>
      </c>
    </row>
    <row r="426" spans="1:9" ht="13.5" x14ac:dyDescent="0.25">
      <c r="A426" s="91" t="s">
        <v>678</v>
      </c>
      <c r="B426" s="92" t="s">
        <v>271</v>
      </c>
      <c r="C426" s="91" t="s">
        <v>678</v>
      </c>
      <c r="D426" s="91" t="s">
        <v>261</v>
      </c>
      <c r="E426" s="93">
        <v>34651</v>
      </c>
      <c r="F426" s="94">
        <f t="shared" ca="1" si="15"/>
        <v>22</v>
      </c>
      <c r="G426" s="95" t="s">
        <v>257</v>
      </c>
      <c r="H426" s="96">
        <v>20500</v>
      </c>
      <c r="I426" s="97">
        <v>3</v>
      </c>
    </row>
    <row r="427" spans="1:9" ht="13.5" x14ac:dyDescent="0.25">
      <c r="A427" s="91" t="s">
        <v>678</v>
      </c>
      <c r="B427" s="92" t="s">
        <v>245</v>
      </c>
      <c r="C427" s="91" t="s">
        <v>678</v>
      </c>
      <c r="D427" s="91" t="s">
        <v>247</v>
      </c>
      <c r="E427" s="93">
        <v>34737</v>
      </c>
      <c r="F427" s="94">
        <f t="shared" ca="1" si="15"/>
        <v>21</v>
      </c>
      <c r="G427" s="95"/>
      <c r="H427" s="96">
        <v>72480</v>
      </c>
      <c r="I427" s="97">
        <v>2</v>
      </c>
    </row>
    <row r="428" spans="1:9" ht="13.5" x14ac:dyDescent="0.25">
      <c r="A428" s="91" t="s">
        <v>678</v>
      </c>
      <c r="B428" s="92" t="s">
        <v>271</v>
      </c>
      <c r="C428" s="91" t="s">
        <v>678</v>
      </c>
      <c r="D428" s="91" t="s">
        <v>252</v>
      </c>
      <c r="E428" s="93">
        <v>34774</v>
      </c>
      <c r="F428" s="94">
        <f t="shared" ca="1" si="15"/>
        <v>21</v>
      </c>
      <c r="G428" s="95"/>
      <c r="H428" s="96">
        <v>21668</v>
      </c>
      <c r="I428" s="97">
        <v>4</v>
      </c>
    </row>
    <row r="429" spans="1:9" ht="13.5" x14ac:dyDescent="0.25">
      <c r="A429" s="91" t="s">
        <v>678</v>
      </c>
      <c r="B429" s="92" t="s">
        <v>271</v>
      </c>
      <c r="C429" s="91" t="s">
        <v>678</v>
      </c>
      <c r="D429" s="91" t="s">
        <v>256</v>
      </c>
      <c r="E429" s="93">
        <v>34865</v>
      </c>
      <c r="F429" s="94">
        <f t="shared" ca="1" si="15"/>
        <v>21</v>
      </c>
      <c r="G429" s="95" t="s">
        <v>283</v>
      </c>
      <c r="H429" s="96">
        <v>23520</v>
      </c>
      <c r="I429" s="97">
        <v>2</v>
      </c>
    </row>
    <row r="430" spans="1:9" ht="13.5" x14ac:dyDescent="0.25">
      <c r="A430" s="91" t="s">
        <v>678</v>
      </c>
      <c r="B430" s="92" t="s">
        <v>266</v>
      </c>
      <c r="C430" s="91" t="s">
        <v>678</v>
      </c>
      <c r="D430" s="91" t="s">
        <v>256</v>
      </c>
      <c r="E430" s="93">
        <v>35156</v>
      </c>
      <c r="F430" s="94">
        <f t="shared" ca="1" si="15"/>
        <v>20</v>
      </c>
      <c r="G430" s="95" t="s">
        <v>283</v>
      </c>
      <c r="H430" s="96">
        <v>68410</v>
      </c>
      <c r="I430" s="97">
        <v>5</v>
      </c>
    </row>
    <row r="431" spans="1:9" ht="13.5" x14ac:dyDescent="0.25">
      <c r="A431" s="91" t="s">
        <v>678</v>
      </c>
      <c r="B431" s="92" t="s">
        <v>280</v>
      </c>
      <c r="C431" s="91" t="s">
        <v>678</v>
      </c>
      <c r="D431" s="91" t="s">
        <v>256</v>
      </c>
      <c r="E431" s="93">
        <v>35257</v>
      </c>
      <c r="F431" s="94">
        <f t="shared" ca="1" si="15"/>
        <v>20</v>
      </c>
      <c r="G431" s="95" t="s">
        <v>276</v>
      </c>
      <c r="H431" s="96">
        <v>45450</v>
      </c>
      <c r="I431" s="97">
        <v>5</v>
      </c>
    </row>
    <row r="432" spans="1:9" ht="13.5" x14ac:dyDescent="0.25">
      <c r="A432" s="91" t="s">
        <v>678</v>
      </c>
      <c r="B432" s="92" t="s">
        <v>271</v>
      </c>
      <c r="C432" s="91" t="s">
        <v>678</v>
      </c>
      <c r="D432" s="91" t="s">
        <v>256</v>
      </c>
      <c r="E432" s="93">
        <v>35588</v>
      </c>
      <c r="F432" s="94">
        <f t="shared" ca="1" si="15"/>
        <v>19</v>
      </c>
      <c r="G432" s="95" t="s">
        <v>257</v>
      </c>
      <c r="H432" s="96">
        <v>71820</v>
      </c>
      <c r="I432" s="97">
        <v>2</v>
      </c>
    </row>
    <row r="433" spans="1:9" ht="13.5" x14ac:dyDescent="0.25">
      <c r="A433" s="91" t="s">
        <v>678</v>
      </c>
      <c r="B433" s="92" t="s">
        <v>245</v>
      </c>
      <c r="C433" s="91" t="s">
        <v>678</v>
      </c>
      <c r="D433" s="91" t="s">
        <v>247</v>
      </c>
      <c r="E433" s="93">
        <v>35926</v>
      </c>
      <c r="F433" s="94">
        <f t="shared" ca="1" si="15"/>
        <v>18</v>
      </c>
      <c r="G433" s="95"/>
      <c r="H433" s="96">
        <v>29540</v>
      </c>
      <c r="I433" s="97">
        <v>3</v>
      </c>
    </row>
    <row r="434" spans="1:9" ht="13.5" x14ac:dyDescent="0.25">
      <c r="A434" s="91" t="s">
        <v>678</v>
      </c>
      <c r="B434" s="92" t="s">
        <v>285</v>
      </c>
      <c r="C434" s="91" t="s">
        <v>678</v>
      </c>
      <c r="D434" s="91" t="s">
        <v>247</v>
      </c>
      <c r="E434" s="93">
        <v>36493</v>
      </c>
      <c r="F434" s="94">
        <f t="shared" ca="1" si="15"/>
        <v>16</v>
      </c>
      <c r="G434" s="95"/>
      <c r="H434" s="96">
        <v>78100</v>
      </c>
      <c r="I434" s="97">
        <v>3</v>
      </c>
    </row>
    <row r="435" spans="1:9" ht="13.5" x14ac:dyDescent="0.25">
      <c r="A435" s="91" t="s">
        <v>678</v>
      </c>
      <c r="B435" s="92" t="s">
        <v>266</v>
      </c>
      <c r="C435" s="91" t="s">
        <v>678</v>
      </c>
      <c r="D435" s="91" t="s">
        <v>252</v>
      </c>
      <c r="E435" s="93">
        <v>36517</v>
      </c>
      <c r="F435" s="94">
        <f t="shared" ca="1" si="15"/>
        <v>16</v>
      </c>
      <c r="G435" s="95"/>
      <c r="H435" s="96">
        <v>11044</v>
      </c>
      <c r="I435" s="97">
        <v>2</v>
      </c>
    </row>
    <row r="436" spans="1:9" ht="13.5" x14ac:dyDescent="0.25">
      <c r="A436" s="91" t="s">
        <v>678</v>
      </c>
      <c r="B436" s="92" t="s">
        <v>251</v>
      </c>
      <c r="C436" s="91" t="s">
        <v>678</v>
      </c>
      <c r="D436" s="91" t="s">
        <v>247</v>
      </c>
      <c r="E436" s="93">
        <v>39023</v>
      </c>
      <c r="F436" s="94">
        <f t="shared" ca="1" si="15"/>
        <v>10</v>
      </c>
      <c r="G436" s="95"/>
      <c r="H436" s="96">
        <v>74020</v>
      </c>
      <c r="I436" s="97">
        <v>2</v>
      </c>
    </row>
    <row r="437" spans="1:9" ht="13.5" x14ac:dyDescent="0.25">
      <c r="A437" s="91" t="s">
        <v>678</v>
      </c>
      <c r="B437" s="92" t="s">
        <v>271</v>
      </c>
      <c r="C437" s="91" t="s">
        <v>678</v>
      </c>
      <c r="D437" s="91" t="s">
        <v>247</v>
      </c>
      <c r="E437" s="93">
        <v>39062</v>
      </c>
      <c r="F437" s="94">
        <f t="shared" ca="1" si="15"/>
        <v>9</v>
      </c>
      <c r="G437" s="95"/>
      <c r="H437" s="96">
        <v>75100</v>
      </c>
      <c r="I437" s="97">
        <v>4</v>
      </c>
    </row>
    <row r="438" spans="1:9" ht="13.5" x14ac:dyDescent="0.25">
      <c r="A438" s="91" t="s">
        <v>678</v>
      </c>
      <c r="B438" s="92" t="s">
        <v>280</v>
      </c>
      <c r="C438" s="91" t="s">
        <v>678</v>
      </c>
      <c r="D438" s="91" t="s">
        <v>256</v>
      </c>
      <c r="E438" s="93">
        <v>39223</v>
      </c>
      <c r="F438" s="94">
        <f t="shared" ca="1" si="15"/>
        <v>9</v>
      </c>
      <c r="G438" s="95" t="s">
        <v>276</v>
      </c>
      <c r="H438" s="96">
        <v>62180</v>
      </c>
      <c r="I438" s="97">
        <v>2</v>
      </c>
    </row>
    <row r="439" spans="1:9" ht="13.5" x14ac:dyDescent="0.25">
      <c r="A439" s="98" t="s">
        <v>1050</v>
      </c>
      <c r="B439" s="92"/>
      <c r="C439" s="98"/>
      <c r="D439" s="91"/>
      <c r="E439" s="93"/>
      <c r="F439" s="94"/>
      <c r="G439" s="95"/>
      <c r="H439" s="96"/>
      <c r="I439" s="97"/>
    </row>
    <row r="440" spans="1:9" ht="13.5" x14ac:dyDescent="0.25">
      <c r="A440" s="91" t="s">
        <v>700</v>
      </c>
      <c r="B440" s="92" t="s">
        <v>245</v>
      </c>
      <c r="C440" s="91" t="s">
        <v>700</v>
      </c>
      <c r="D440" s="91" t="s">
        <v>247</v>
      </c>
      <c r="E440" s="93">
        <v>33098</v>
      </c>
      <c r="F440" s="94">
        <f ca="1">DATEDIF(E440,TODAY(),"Y")</f>
        <v>26</v>
      </c>
      <c r="G440" s="95"/>
      <c r="H440" s="96">
        <v>71700</v>
      </c>
      <c r="I440" s="97">
        <v>2</v>
      </c>
    </row>
    <row r="441" spans="1:9" ht="13.5" x14ac:dyDescent="0.25">
      <c r="A441" s="91" t="s">
        <v>700</v>
      </c>
      <c r="B441" s="92" t="s">
        <v>285</v>
      </c>
      <c r="C441" s="91" t="s">
        <v>700</v>
      </c>
      <c r="D441" s="91" t="s">
        <v>256</v>
      </c>
      <c r="E441" s="93">
        <v>33504</v>
      </c>
      <c r="F441" s="94">
        <f ca="1">DATEDIF(E441,TODAY(),"Y")</f>
        <v>25</v>
      </c>
      <c r="G441" s="95" t="s">
        <v>257</v>
      </c>
      <c r="H441" s="96">
        <v>63190</v>
      </c>
      <c r="I441" s="97">
        <v>1</v>
      </c>
    </row>
    <row r="442" spans="1:9" ht="13.5" x14ac:dyDescent="0.25">
      <c r="A442" s="91" t="s">
        <v>700</v>
      </c>
      <c r="B442" s="92" t="s">
        <v>245</v>
      </c>
      <c r="C442" s="91" t="s">
        <v>700</v>
      </c>
      <c r="D442" s="91" t="s">
        <v>247</v>
      </c>
      <c r="E442" s="93">
        <v>34141</v>
      </c>
      <c r="F442" s="94">
        <f ca="1">DATEDIF(E442,TODAY(),"Y")</f>
        <v>23</v>
      </c>
      <c r="G442" s="95"/>
      <c r="H442" s="96">
        <v>25120</v>
      </c>
      <c r="I442" s="97">
        <v>2</v>
      </c>
    </row>
    <row r="443" spans="1:9" ht="13.5" x14ac:dyDescent="0.25">
      <c r="A443" s="91" t="s">
        <v>700</v>
      </c>
      <c r="B443" s="92" t="s">
        <v>271</v>
      </c>
      <c r="C443" s="91" t="s">
        <v>700</v>
      </c>
      <c r="D443" s="91" t="s">
        <v>247</v>
      </c>
      <c r="E443" s="93">
        <v>34257</v>
      </c>
      <c r="F443" s="94">
        <f ca="1">DATEDIF(E443,TODAY(),"Y")</f>
        <v>23</v>
      </c>
      <c r="G443" s="95"/>
      <c r="H443" s="96">
        <v>44820</v>
      </c>
      <c r="I443" s="97">
        <v>4</v>
      </c>
    </row>
    <row r="444" spans="1:9" ht="13.5" x14ac:dyDescent="0.25">
      <c r="A444" s="98" t="s">
        <v>1051</v>
      </c>
      <c r="B444" s="92"/>
      <c r="C444" s="98"/>
      <c r="D444" s="91"/>
      <c r="E444" s="93"/>
      <c r="F444" s="94"/>
      <c r="G444" s="95"/>
      <c r="H444" s="96"/>
      <c r="I444" s="97"/>
    </row>
    <row r="445" spans="1:9" ht="13.5" x14ac:dyDescent="0.25">
      <c r="A445" s="91" t="s">
        <v>705</v>
      </c>
      <c r="B445" s="92" t="s">
        <v>285</v>
      </c>
      <c r="C445" s="91" t="s">
        <v>705</v>
      </c>
      <c r="D445" s="91" t="s">
        <v>256</v>
      </c>
      <c r="E445" s="93">
        <v>32147</v>
      </c>
      <c r="F445" s="94">
        <f t="shared" ref="F445:F488" ca="1" si="16">DATEDIF(E445,TODAY(),"Y")</f>
        <v>28</v>
      </c>
      <c r="G445" s="95" t="s">
        <v>267</v>
      </c>
      <c r="H445" s="96">
        <v>61470</v>
      </c>
      <c r="I445" s="97">
        <v>5</v>
      </c>
    </row>
    <row r="446" spans="1:9" ht="13.5" x14ac:dyDescent="0.25">
      <c r="A446" s="91" t="s">
        <v>705</v>
      </c>
      <c r="B446" s="92" t="s">
        <v>271</v>
      </c>
      <c r="C446" s="91" t="s">
        <v>705</v>
      </c>
      <c r="D446" s="91" t="s">
        <v>261</v>
      </c>
      <c r="E446" s="93">
        <v>32192</v>
      </c>
      <c r="F446" s="94">
        <f t="shared" ca="1" si="16"/>
        <v>28</v>
      </c>
      <c r="G446" s="95" t="s">
        <v>262</v>
      </c>
      <c r="H446" s="96">
        <v>35045</v>
      </c>
      <c r="I446" s="97">
        <v>4</v>
      </c>
    </row>
    <row r="447" spans="1:9" ht="13.5" x14ac:dyDescent="0.25">
      <c r="A447" s="91" t="s">
        <v>705</v>
      </c>
      <c r="B447" s="92" t="s">
        <v>271</v>
      </c>
      <c r="C447" s="91" t="s">
        <v>705</v>
      </c>
      <c r="D447" s="91" t="s">
        <v>256</v>
      </c>
      <c r="E447" s="93">
        <v>32268</v>
      </c>
      <c r="F447" s="94">
        <f t="shared" ca="1" si="16"/>
        <v>28</v>
      </c>
      <c r="G447" s="95" t="s">
        <v>257</v>
      </c>
      <c r="H447" s="96">
        <v>43580</v>
      </c>
      <c r="I447" s="97">
        <v>5</v>
      </c>
    </row>
    <row r="448" spans="1:9" ht="13.5" x14ac:dyDescent="0.25">
      <c r="A448" s="91" t="s">
        <v>705</v>
      </c>
      <c r="B448" s="92" t="s">
        <v>245</v>
      </c>
      <c r="C448" s="91" t="s">
        <v>705</v>
      </c>
      <c r="D448" s="91" t="s">
        <v>256</v>
      </c>
      <c r="E448" s="93">
        <v>32310</v>
      </c>
      <c r="F448" s="94">
        <f t="shared" ca="1" si="16"/>
        <v>28</v>
      </c>
      <c r="G448" s="95" t="s">
        <v>283</v>
      </c>
      <c r="H448" s="96">
        <v>43190</v>
      </c>
      <c r="I448" s="97">
        <v>2</v>
      </c>
    </row>
    <row r="449" spans="1:9" ht="13.5" x14ac:dyDescent="0.25">
      <c r="A449" s="91" t="s">
        <v>705</v>
      </c>
      <c r="B449" s="92" t="s">
        <v>245</v>
      </c>
      <c r="C449" s="91" t="s">
        <v>705</v>
      </c>
      <c r="D449" s="91" t="s">
        <v>256</v>
      </c>
      <c r="E449" s="93">
        <v>32326</v>
      </c>
      <c r="F449" s="94">
        <f t="shared" ca="1" si="16"/>
        <v>28</v>
      </c>
      <c r="G449" s="95" t="s">
        <v>257</v>
      </c>
      <c r="H449" s="96">
        <v>26360</v>
      </c>
      <c r="I449" s="97">
        <v>1</v>
      </c>
    </row>
    <row r="450" spans="1:9" ht="13.5" x14ac:dyDescent="0.25">
      <c r="A450" s="91" t="s">
        <v>705</v>
      </c>
      <c r="B450" s="92" t="s">
        <v>285</v>
      </c>
      <c r="C450" s="91" t="s">
        <v>705</v>
      </c>
      <c r="D450" s="91" t="s">
        <v>256</v>
      </c>
      <c r="E450" s="93">
        <v>32332</v>
      </c>
      <c r="F450" s="94">
        <f t="shared" ca="1" si="16"/>
        <v>28</v>
      </c>
      <c r="G450" s="95" t="s">
        <v>257</v>
      </c>
      <c r="H450" s="96">
        <v>79770</v>
      </c>
      <c r="I450" s="97">
        <v>4</v>
      </c>
    </row>
    <row r="451" spans="1:9" ht="13.5" x14ac:dyDescent="0.25">
      <c r="A451" s="91" t="s">
        <v>705</v>
      </c>
      <c r="B451" s="92" t="s">
        <v>285</v>
      </c>
      <c r="C451" s="91" t="s">
        <v>705</v>
      </c>
      <c r="D451" s="91" t="s">
        <v>247</v>
      </c>
      <c r="E451" s="93">
        <v>32501</v>
      </c>
      <c r="F451" s="94">
        <f t="shared" ca="1" si="16"/>
        <v>27</v>
      </c>
      <c r="G451" s="95"/>
      <c r="H451" s="96">
        <v>32650</v>
      </c>
      <c r="I451" s="97">
        <v>1</v>
      </c>
    </row>
    <row r="452" spans="1:9" ht="13.5" x14ac:dyDescent="0.25">
      <c r="A452" s="91" t="s">
        <v>705</v>
      </c>
      <c r="B452" s="92" t="s">
        <v>285</v>
      </c>
      <c r="C452" s="91" t="s">
        <v>705</v>
      </c>
      <c r="D452" s="91" t="s">
        <v>256</v>
      </c>
      <c r="E452" s="93">
        <v>32568</v>
      </c>
      <c r="F452" s="94">
        <f t="shared" ca="1" si="16"/>
        <v>27</v>
      </c>
      <c r="G452" s="95" t="s">
        <v>276</v>
      </c>
      <c r="H452" s="96">
        <v>75370</v>
      </c>
      <c r="I452" s="97">
        <v>2</v>
      </c>
    </row>
    <row r="453" spans="1:9" ht="13.5" x14ac:dyDescent="0.25">
      <c r="A453" s="91" t="s">
        <v>705</v>
      </c>
      <c r="B453" s="92" t="s">
        <v>271</v>
      </c>
      <c r="C453" s="91" t="s">
        <v>705</v>
      </c>
      <c r="D453" s="91" t="s">
        <v>256</v>
      </c>
      <c r="E453" s="93">
        <v>32571</v>
      </c>
      <c r="F453" s="94">
        <f t="shared" ca="1" si="16"/>
        <v>27</v>
      </c>
      <c r="G453" s="95" t="s">
        <v>276</v>
      </c>
      <c r="H453" s="96">
        <v>46910</v>
      </c>
      <c r="I453" s="97">
        <v>3</v>
      </c>
    </row>
    <row r="454" spans="1:9" ht="13.5" x14ac:dyDescent="0.25">
      <c r="A454" s="91" t="s">
        <v>705</v>
      </c>
      <c r="B454" s="92" t="s">
        <v>285</v>
      </c>
      <c r="C454" s="91" t="s">
        <v>705</v>
      </c>
      <c r="D454" s="91" t="s">
        <v>256</v>
      </c>
      <c r="E454" s="93">
        <v>32618</v>
      </c>
      <c r="F454" s="94">
        <f t="shared" ca="1" si="16"/>
        <v>27</v>
      </c>
      <c r="G454" s="95" t="s">
        <v>262</v>
      </c>
      <c r="H454" s="96">
        <v>68010</v>
      </c>
      <c r="I454" s="97">
        <v>1</v>
      </c>
    </row>
    <row r="455" spans="1:9" ht="13.5" x14ac:dyDescent="0.25">
      <c r="A455" s="91" t="s">
        <v>705</v>
      </c>
      <c r="B455" s="92" t="s">
        <v>271</v>
      </c>
      <c r="C455" s="91" t="s">
        <v>705</v>
      </c>
      <c r="D455" s="91" t="s">
        <v>256</v>
      </c>
      <c r="E455" s="93">
        <v>32801</v>
      </c>
      <c r="F455" s="94">
        <f t="shared" ca="1" si="16"/>
        <v>27</v>
      </c>
      <c r="G455" s="95" t="s">
        <v>283</v>
      </c>
      <c r="H455" s="96">
        <v>73030</v>
      </c>
      <c r="I455" s="97">
        <v>5</v>
      </c>
    </row>
    <row r="456" spans="1:9" ht="13.5" x14ac:dyDescent="0.25">
      <c r="A456" s="91" t="s">
        <v>705</v>
      </c>
      <c r="B456" s="92" t="s">
        <v>251</v>
      </c>
      <c r="C456" s="91" t="s">
        <v>705</v>
      </c>
      <c r="D456" s="91" t="s">
        <v>247</v>
      </c>
      <c r="E456" s="93">
        <v>33192</v>
      </c>
      <c r="F456" s="94">
        <f t="shared" ca="1" si="16"/>
        <v>26</v>
      </c>
      <c r="G456" s="95"/>
      <c r="H456" s="96">
        <v>66710</v>
      </c>
      <c r="I456" s="97">
        <v>2</v>
      </c>
    </row>
    <row r="457" spans="1:9" ht="13.5" x14ac:dyDescent="0.25">
      <c r="A457" s="91" t="s">
        <v>705</v>
      </c>
      <c r="B457" s="92" t="s">
        <v>251</v>
      </c>
      <c r="C457" s="91" t="s">
        <v>705</v>
      </c>
      <c r="D457" s="91" t="s">
        <v>261</v>
      </c>
      <c r="E457" s="93">
        <v>33307</v>
      </c>
      <c r="F457" s="94">
        <f t="shared" ca="1" si="16"/>
        <v>25</v>
      </c>
      <c r="G457" s="95" t="s">
        <v>257</v>
      </c>
      <c r="H457" s="96">
        <v>13435</v>
      </c>
      <c r="I457" s="97">
        <v>1</v>
      </c>
    </row>
    <row r="458" spans="1:9" ht="13.5" x14ac:dyDescent="0.25">
      <c r="A458" s="91" t="s">
        <v>705</v>
      </c>
      <c r="B458" s="92" t="s">
        <v>280</v>
      </c>
      <c r="C458" s="91" t="s">
        <v>705</v>
      </c>
      <c r="D458" s="91" t="s">
        <v>256</v>
      </c>
      <c r="E458" s="93">
        <v>33392</v>
      </c>
      <c r="F458" s="94">
        <f t="shared" ca="1" si="16"/>
        <v>25</v>
      </c>
      <c r="G458" s="95" t="s">
        <v>257</v>
      </c>
      <c r="H458" s="96">
        <v>87030</v>
      </c>
      <c r="I458" s="97">
        <v>3</v>
      </c>
    </row>
    <row r="459" spans="1:9" ht="13.5" x14ac:dyDescent="0.25">
      <c r="A459" s="91" t="s">
        <v>705</v>
      </c>
      <c r="B459" s="92" t="s">
        <v>285</v>
      </c>
      <c r="C459" s="91" t="s">
        <v>705</v>
      </c>
      <c r="D459" s="91" t="s">
        <v>256</v>
      </c>
      <c r="E459" s="93">
        <v>33427</v>
      </c>
      <c r="F459" s="94">
        <f t="shared" ca="1" si="16"/>
        <v>25</v>
      </c>
      <c r="G459" s="95" t="s">
        <v>257</v>
      </c>
      <c r="H459" s="96">
        <v>88850</v>
      </c>
      <c r="I459" s="97">
        <v>3</v>
      </c>
    </row>
    <row r="460" spans="1:9" ht="13.5" x14ac:dyDescent="0.25">
      <c r="A460" s="91" t="s">
        <v>705</v>
      </c>
      <c r="B460" s="92" t="s">
        <v>266</v>
      </c>
      <c r="C460" s="91" t="s">
        <v>705</v>
      </c>
      <c r="D460" s="91" t="s">
        <v>256</v>
      </c>
      <c r="E460" s="93">
        <v>33430</v>
      </c>
      <c r="F460" s="94">
        <f t="shared" ca="1" si="16"/>
        <v>25</v>
      </c>
      <c r="G460" s="95" t="s">
        <v>267</v>
      </c>
      <c r="H460" s="96">
        <v>77840</v>
      </c>
      <c r="I460" s="97">
        <v>2</v>
      </c>
    </row>
    <row r="461" spans="1:9" ht="13.5" x14ac:dyDescent="0.25">
      <c r="A461" s="91" t="s">
        <v>705</v>
      </c>
      <c r="B461" s="92" t="s">
        <v>271</v>
      </c>
      <c r="C461" s="91" t="s">
        <v>705</v>
      </c>
      <c r="D461" s="91" t="s">
        <v>256</v>
      </c>
      <c r="E461" s="93">
        <v>33591</v>
      </c>
      <c r="F461" s="94">
        <f t="shared" ca="1" si="16"/>
        <v>24</v>
      </c>
      <c r="G461" s="95" t="s">
        <v>257</v>
      </c>
      <c r="H461" s="96">
        <v>25830</v>
      </c>
      <c r="I461" s="97">
        <v>5</v>
      </c>
    </row>
    <row r="462" spans="1:9" ht="13.5" x14ac:dyDescent="0.25">
      <c r="A462" s="91" t="s">
        <v>705</v>
      </c>
      <c r="B462" s="92" t="s">
        <v>280</v>
      </c>
      <c r="C462" s="91" t="s">
        <v>705</v>
      </c>
      <c r="D462" s="91" t="s">
        <v>256</v>
      </c>
      <c r="E462" s="93">
        <v>33823</v>
      </c>
      <c r="F462" s="94">
        <f t="shared" ca="1" si="16"/>
        <v>24</v>
      </c>
      <c r="G462" s="95" t="s">
        <v>283</v>
      </c>
      <c r="H462" s="96">
        <v>63080</v>
      </c>
      <c r="I462" s="97">
        <v>5</v>
      </c>
    </row>
    <row r="463" spans="1:9" ht="13.5" x14ac:dyDescent="0.25">
      <c r="A463" s="91" t="s">
        <v>705</v>
      </c>
      <c r="B463" s="92" t="s">
        <v>245</v>
      </c>
      <c r="C463" s="91" t="s">
        <v>705</v>
      </c>
      <c r="D463" s="91" t="s">
        <v>256</v>
      </c>
      <c r="E463" s="93">
        <v>34029</v>
      </c>
      <c r="F463" s="94">
        <f t="shared" ca="1" si="16"/>
        <v>23</v>
      </c>
      <c r="G463" s="95" t="s">
        <v>283</v>
      </c>
      <c r="H463" s="96">
        <v>43410</v>
      </c>
      <c r="I463" s="97">
        <v>1</v>
      </c>
    </row>
    <row r="464" spans="1:9" ht="13.5" x14ac:dyDescent="0.25">
      <c r="A464" s="91" t="s">
        <v>705</v>
      </c>
      <c r="B464" s="92" t="s">
        <v>285</v>
      </c>
      <c r="C464" s="91" t="s">
        <v>705</v>
      </c>
      <c r="D464" s="91" t="s">
        <v>256</v>
      </c>
      <c r="E464" s="93">
        <v>34069</v>
      </c>
      <c r="F464" s="94">
        <f t="shared" ca="1" si="16"/>
        <v>23</v>
      </c>
      <c r="G464" s="95" t="s">
        <v>276</v>
      </c>
      <c r="H464" s="96">
        <v>67230</v>
      </c>
      <c r="I464" s="97">
        <v>4</v>
      </c>
    </row>
    <row r="465" spans="1:9" ht="13.5" x14ac:dyDescent="0.25">
      <c r="A465" s="91" t="s">
        <v>705</v>
      </c>
      <c r="B465" s="92" t="s">
        <v>271</v>
      </c>
      <c r="C465" s="91" t="s">
        <v>705</v>
      </c>
      <c r="D465" s="91" t="s">
        <v>256</v>
      </c>
      <c r="E465" s="93">
        <v>34102</v>
      </c>
      <c r="F465" s="94">
        <f t="shared" ca="1" si="16"/>
        <v>23</v>
      </c>
      <c r="G465" s="95" t="s">
        <v>262</v>
      </c>
      <c r="H465" s="96">
        <v>77950</v>
      </c>
      <c r="I465" s="97">
        <v>4</v>
      </c>
    </row>
    <row r="466" spans="1:9" ht="13.5" x14ac:dyDescent="0.25">
      <c r="A466" s="91" t="s">
        <v>705</v>
      </c>
      <c r="B466" s="92" t="s">
        <v>285</v>
      </c>
      <c r="C466" s="91" t="s">
        <v>705</v>
      </c>
      <c r="D466" s="91" t="s">
        <v>256</v>
      </c>
      <c r="E466" s="93">
        <v>34593</v>
      </c>
      <c r="F466" s="94">
        <f t="shared" ca="1" si="16"/>
        <v>22</v>
      </c>
      <c r="G466" s="95" t="s">
        <v>257</v>
      </c>
      <c r="H466" s="96">
        <v>68520</v>
      </c>
      <c r="I466" s="97">
        <v>5</v>
      </c>
    </row>
    <row r="467" spans="1:9" ht="13.5" x14ac:dyDescent="0.25">
      <c r="A467" s="91" t="s">
        <v>705</v>
      </c>
      <c r="B467" s="92" t="s">
        <v>280</v>
      </c>
      <c r="C467" s="91" t="s">
        <v>705</v>
      </c>
      <c r="D467" s="91" t="s">
        <v>247</v>
      </c>
      <c r="E467" s="93">
        <v>34611</v>
      </c>
      <c r="F467" s="94">
        <f t="shared" ca="1" si="16"/>
        <v>22</v>
      </c>
      <c r="G467" s="95"/>
      <c r="H467" s="96">
        <v>63330</v>
      </c>
      <c r="I467" s="97">
        <v>4</v>
      </c>
    </row>
    <row r="468" spans="1:9" ht="13.5" x14ac:dyDescent="0.25">
      <c r="A468" s="91" t="s">
        <v>705</v>
      </c>
      <c r="B468" s="92" t="s">
        <v>271</v>
      </c>
      <c r="C468" s="91" t="s">
        <v>705</v>
      </c>
      <c r="D468" s="91" t="s">
        <v>256</v>
      </c>
      <c r="E468" s="93">
        <v>34659</v>
      </c>
      <c r="F468" s="94">
        <f t="shared" ca="1" si="16"/>
        <v>21</v>
      </c>
      <c r="G468" s="95" t="s">
        <v>257</v>
      </c>
      <c r="H468" s="96">
        <v>74530</v>
      </c>
      <c r="I468" s="97">
        <v>5</v>
      </c>
    </row>
    <row r="469" spans="1:9" ht="13.5" x14ac:dyDescent="0.25">
      <c r="A469" s="91" t="s">
        <v>705</v>
      </c>
      <c r="B469" s="92" t="s">
        <v>271</v>
      </c>
      <c r="C469" s="91" t="s">
        <v>705</v>
      </c>
      <c r="D469" s="91" t="s">
        <v>252</v>
      </c>
      <c r="E469" s="93">
        <v>35019</v>
      </c>
      <c r="F469" s="94">
        <f t="shared" ca="1" si="16"/>
        <v>21</v>
      </c>
      <c r="G469" s="95"/>
      <c r="H469" s="96">
        <v>39764</v>
      </c>
      <c r="I469" s="97">
        <v>1</v>
      </c>
    </row>
    <row r="470" spans="1:9" ht="13.5" x14ac:dyDescent="0.25">
      <c r="A470" s="91" t="s">
        <v>705</v>
      </c>
      <c r="B470" s="92" t="s">
        <v>271</v>
      </c>
      <c r="C470" s="91" t="s">
        <v>705</v>
      </c>
      <c r="D470" s="91" t="s">
        <v>247</v>
      </c>
      <c r="E470" s="93">
        <v>35313</v>
      </c>
      <c r="F470" s="94">
        <f t="shared" ca="1" si="16"/>
        <v>20</v>
      </c>
      <c r="G470" s="95"/>
      <c r="H470" s="96">
        <v>30300</v>
      </c>
      <c r="I470" s="97">
        <v>1</v>
      </c>
    </row>
    <row r="471" spans="1:9" ht="13.5" x14ac:dyDescent="0.25">
      <c r="A471" s="91" t="s">
        <v>705</v>
      </c>
      <c r="B471" s="92" t="s">
        <v>285</v>
      </c>
      <c r="C471" s="91" t="s">
        <v>705</v>
      </c>
      <c r="D471" s="91" t="s">
        <v>261</v>
      </c>
      <c r="E471" s="93">
        <v>35385</v>
      </c>
      <c r="F471" s="94">
        <f t="shared" ca="1" si="16"/>
        <v>20</v>
      </c>
      <c r="G471" s="95" t="s">
        <v>283</v>
      </c>
      <c r="H471" s="96">
        <v>29005</v>
      </c>
      <c r="I471" s="97">
        <v>1</v>
      </c>
    </row>
    <row r="472" spans="1:9" ht="13.5" x14ac:dyDescent="0.25">
      <c r="A472" s="91" t="s">
        <v>705</v>
      </c>
      <c r="B472" s="92" t="s">
        <v>245</v>
      </c>
      <c r="C472" s="91" t="s">
        <v>705</v>
      </c>
      <c r="D472" s="91" t="s">
        <v>261</v>
      </c>
      <c r="E472" s="93">
        <v>36160</v>
      </c>
      <c r="F472" s="94">
        <f t="shared" ca="1" si="16"/>
        <v>17</v>
      </c>
      <c r="G472" s="95" t="s">
        <v>257</v>
      </c>
      <c r="H472" s="96">
        <v>33810</v>
      </c>
      <c r="I472" s="97">
        <v>5</v>
      </c>
    </row>
    <row r="473" spans="1:9" ht="13.5" x14ac:dyDescent="0.25">
      <c r="A473" s="91" t="s">
        <v>705</v>
      </c>
      <c r="B473" s="92" t="s">
        <v>271</v>
      </c>
      <c r="C473" s="91" t="s">
        <v>705</v>
      </c>
      <c r="D473" s="91" t="s">
        <v>252</v>
      </c>
      <c r="E473" s="93">
        <v>36401</v>
      </c>
      <c r="F473" s="94">
        <f t="shared" ca="1" si="16"/>
        <v>17</v>
      </c>
      <c r="G473" s="95"/>
      <c r="H473" s="96">
        <v>21648</v>
      </c>
      <c r="I473" s="97">
        <v>2</v>
      </c>
    </row>
    <row r="474" spans="1:9" ht="13.5" x14ac:dyDescent="0.25">
      <c r="A474" s="91" t="s">
        <v>705</v>
      </c>
      <c r="B474" s="92" t="s">
        <v>285</v>
      </c>
      <c r="C474" s="91" t="s">
        <v>705</v>
      </c>
      <c r="D474" s="91" t="s">
        <v>252</v>
      </c>
      <c r="E474" s="93">
        <v>36834</v>
      </c>
      <c r="F474" s="94">
        <f t="shared" ca="1" si="16"/>
        <v>16</v>
      </c>
      <c r="G474" s="95"/>
      <c r="H474" s="96">
        <v>33512</v>
      </c>
      <c r="I474" s="97">
        <v>4</v>
      </c>
    </row>
    <row r="475" spans="1:9" ht="13.5" x14ac:dyDescent="0.25">
      <c r="A475" s="91" t="s">
        <v>705</v>
      </c>
      <c r="B475" s="92" t="s">
        <v>271</v>
      </c>
      <c r="C475" s="91" t="s">
        <v>705</v>
      </c>
      <c r="D475" s="91" t="s">
        <v>256</v>
      </c>
      <c r="E475" s="93">
        <v>36917</v>
      </c>
      <c r="F475" s="94">
        <f t="shared" ca="1" si="16"/>
        <v>15</v>
      </c>
      <c r="G475" s="95" t="s">
        <v>283</v>
      </c>
      <c r="H475" s="96">
        <v>86200</v>
      </c>
      <c r="I475" s="97">
        <v>3</v>
      </c>
    </row>
    <row r="476" spans="1:9" ht="13.5" x14ac:dyDescent="0.25">
      <c r="A476" s="91" t="s">
        <v>705</v>
      </c>
      <c r="B476" s="92" t="s">
        <v>285</v>
      </c>
      <c r="C476" s="91" t="s">
        <v>705</v>
      </c>
      <c r="D476" s="91" t="s">
        <v>256</v>
      </c>
      <c r="E476" s="93">
        <v>37497</v>
      </c>
      <c r="F476" s="94">
        <f t="shared" ca="1" si="16"/>
        <v>14</v>
      </c>
      <c r="G476" s="95" t="s">
        <v>257</v>
      </c>
      <c r="H476" s="96">
        <v>47060</v>
      </c>
      <c r="I476" s="97">
        <v>4</v>
      </c>
    </row>
    <row r="477" spans="1:9" ht="13.5" x14ac:dyDescent="0.25">
      <c r="A477" s="91" t="s">
        <v>705</v>
      </c>
      <c r="B477" s="92" t="s">
        <v>285</v>
      </c>
      <c r="C477" s="91" t="s">
        <v>705</v>
      </c>
      <c r="D477" s="91" t="s">
        <v>256</v>
      </c>
      <c r="E477" s="93">
        <v>37606</v>
      </c>
      <c r="F477" s="94">
        <f t="shared" ca="1" si="16"/>
        <v>13</v>
      </c>
      <c r="G477" s="95" t="s">
        <v>262</v>
      </c>
      <c r="H477" s="96">
        <v>27560</v>
      </c>
      <c r="I477" s="97">
        <v>2</v>
      </c>
    </row>
    <row r="478" spans="1:9" ht="13.5" x14ac:dyDescent="0.25">
      <c r="A478" s="91" t="s">
        <v>705</v>
      </c>
      <c r="B478" s="92" t="s">
        <v>251</v>
      </c>
      <c r="C478" s="91" t="s">
        <v>705</v>
      </c>
      <c r="D478" s="91" t="s">
        <v>261</v>
      </c>
      <c r="E478" s="93">
        <v>37989</v>
      </c>
      <c r="F478" s="94">
        <f t="shared" ca="1" si="16"/>
        <v>12</v>
      </c>
      <c r="G478" s="95" t="s">
        <v>276</v>
      </c>
      <c r="H478" s="96">
        <v>47760</v>
      </c>
      <c r="I478" s="97">
        <v>3</v>
      </c>
    </row>
    <row r="479" spans="1:9" ht="13.5" x14ac:dyDescent="0.25">
      <c r="A479" s="91" t="s">
        <v>705</v>
      </c>
      <c r="B479" s="92" t="s">
        <v>285</v>
      </c>
      <c r="C479" s="91" t="s">
        <v>705</v>
      </c>
      <c r="D479" s="91" t="s">
        <v>256</v>
      </c>
      <c r="E479" s="93">
        <v>38094</v>
      </c>
      <c r="F479" s="94">
        <f t="shared" ca="1" si="16"/>
        <v>12</v>
      </c>
      <c r="G479" s="95" t="s">
        <v>267</v>
      </c>
      <c r="H479" s="96">
        <v>50990</v>
      </c>
      <c r="I479" s="97">
        <v>4</v>
      </c>
    </row>
    <row r="480" spans="1:9" ht="13.5" x14ac:dyDescent="0.25">
      <c r="A480" s="91" t="s">
        <v>705</v>
      </c>
      <c r="B480" s="92" t="s">
        <v>245</v>
      </c>
      <c r="C480" s="91" t="s">
        <v>705</v>
      </c>
      <c r="D480" s="91" t="s">
        <v>256</v>
      </c>
      <c r="E480" s="93">
        <v>38347</v>
      </c>
      <c r="F480" s="94">
        <f t="shared" ca="1" si="16"/>
        <v>11</v>
      </c>
      <c r="G480" s="95" t="s">
        <v>276</v>
      </c>
      <c r="H480" s="96">
        <v>80880</v>
      </c>
      <c r="I480" s="97">
        <v>1</v>
      </c>
    </row>
    <row r="481" spans="1:9" ht="13.5" x14ac:dyDescent="0.25">
      <c r="A481" s="91" t="s">
        <v>705</v>
      </c>
      <c r="B481" s="92" t="s">
        <v>266</v>
      </c>
      <c r="C481" s="91" t="s">
        <v>705</v>
      </c>
      <c r="D481" s="91" t="s">
        <v>256</v>
      </c>
      <c r="E481" s="93">
        <v>38368</v>
      </c>
      <c r="F481" s="94">
        <f t="shared" ca="1" si="16"/>
        <v>11</v>
      </c>
      <c r="G481" s="95" t="s">
        <v>283</v>
      </c>
      <c r="H481" s="96">
        <v>80090</v>
      </c>
      <c r="I481" s="97">
        <v>2</v>
      </c>
    </row>
    <row r="482" spans="1:9" ht="13.5" x14ac:dyDescent="0.25">
      <c r="A482" s="91" t="s">
        <v>705</v>
      </c>
      <c r="B482" s="92" t="s">
        <v>280</v>
      </c>
      <c r="C482" s="91" t="s">
        <v>705</v>
      </c>
      <c r="D482" s="91" t="s">
        <v>247</v>
      </c>
      <c r="E482" s="93">
        <v>38473</v>
      </c>
      <c r="F482" s="94">
        <f t="shared" ca="1" si="16"/>
        <v>11</v>
      </c>
      <c r="G482" s="95"/>
      <c r="H482" s="96">
        <v>54000</v>
      </c>
      <c r="I482" s="97">
        <v>3</v>
      </c>
    </row>
    <row r="483" spans="1:9" ht="13.5" x14ac:dyDescent="0.25">
      <c r="A483" s="91" t="s">
        <v>705</v>
      </c>
      <c r="B483" s="92" t="s">
        <v>251</v>
      </c>
      <c r="C483" s="91" t="s">
        <v>705</v>
      </c>
      <c r="D483" s="91" t="s">
        <v>256</v>
      </c>
      <c r="E483" s="93">
        <v>39060</v>
      </c>
      <c r="F483" s="94">
        <f t="shared" ca="1" si="16"/>
        <v>9</v>
      </c>
      <c r="G483" s="95" t="s">
        <v>257</v>
      </c>
      <c r="H483" s="96">
        <v>66840</v>
      </c>
      <c r="I483" s="97">
        <v>4</v>
      </c>
    </row>
    <row r="484" spans="1:9" ht="13.5" x14ac:dyDescent="0.25">
      <c r="A484" s="91" t="s">
        <v>705</v>
      </c>
      <c r="B484" s="92" t="s">
        <v>266</v>
      </c>
      <c r="C484" s="91" t="s">
        <v>705</v>
      </c>
      <c r="D484" s="91" t="s">
        <v>261</v>
      </c>
      <c r="E484" s="99">
        <v>39083</v>
      </c>
      <c r="F484" s="94">
        <f t="shared" ca="1" si="16"/>
        <v>9</v>
      </c>
      <c r="G484" s="95" t="s">
        <v>257</v>
      </c>
      <c r="H484" s="96">
        <v>16925</v>
      </c>
      <c r="I484" s="97">
        <v>1</v>
      </c>
    </row>
    <row r="485" spans="1:9" ht="13.5" x14ac:dyDescent="0.25">
      <c r="A485" s="91" t="s">
        <v>705</v>
      </c>
      <c r="B485" s="92" t="s">
        <v>245</v>
      </c>
      <c r="C485" s="91" t="s">
        <v>705</v>
      </c>
      <c r="D485" s="91" t="s">
        <v>252</v>
      </c>
      <c r="E485" s="99">
        <v>39093</v>
      </c>
      <c r="F485" s="94">
        <f t="shared" ca="1" si="16"/>
        <v>9</v>
      </c>
      <c r="G485" s="95"/>
      <c r="H485" s="96">
        <v>15056</v>
      </c>
      <c r="I485" s="97">
        <v>5</v>
      </c>
    </row>
    <row r="486" spans="1:9" ht="13.5" x14ac:dyDescent="0.25">
      <c r="A486" s="91" t="s">
        <v>705</v>
      </c>
      <c r="B486" s="92" t="s">
        <v>271</v>
      </c>
      <c r="C486" s="91" t="s">
        <v>705</v>
      </c>
      <c r="D486" s="91" t="s">
        <v>252</v>
      </c>
      <c r="E486" s="99">
        <v>39142</v>
      </c>
      <c r="F486" s="94">
        <f t="shared" ca="1" si="16"/>
        <v>9</v>
      </c>
      <c r="G486" s="95"/>
      <c r="H486" s="96">
        <v>9180</v>
      </c>
      <c r="I486" s="97">
        <v>3</v>
      </c>
    </row>
    <row r="487" spans="1:9" ht="13.5" x14ac:dyDescent="0.25">
      <c r="A487" s="91" t="s">
        <v>705</v>
      </c>
      <c r="B487" s="92" t="s">
        <v>251</v>
      </c>
      <c r="C487" s="91" t="s">
        <v>705</v>
      </c>
      <c r="D487" s="91" t="s">
        <v>247</v>
      </c>
      <c r="E487" s="93">
        <v>39158</v>
      </c>
      <c r="F487" s="94">
        <f t="shared" ca="1" si="16"/>
        <v>9</v>
      </c>
      <c r="G487" s="95"/>
      <c r="H487" s="96">
        <v>39440</v>
      </c>
      <c r="I487" s="97">
        <v>4</v>
      </c>
    </row>
    <row r="488" spans="1:9" ht="13.5" x14ac:dyDescent="0.25">
      <c r="A488" s="91" t="s">
        <v>705</v>
      </c>
      <c r="B488" s="92" t="s">
        <v>251</v>
      </c>
      <c r="C488" s="91" t="s">
        <v>705</v>
      </c>
      <c r="D488" s="91" t="s">
        <v>247</v>
      </c>
      <c r="E488" s="99">
        <v>39310</v>
      </c>
      <c r="F488" s="94">
        <f t="shared" ca="1" si="16"/>
        <v>9</v>
      </c>
      <c r="G488" s="95"/>
      <c r="H488" s="96">
        <v>84300</v>
      </c>
      <c r="I488" s="97">
        <v>1</v>
      </c>
    </row>
    <row r="489" spans="1:9" ht="13.5" x14ac:dyDescent="0.25">
      <c r="A489" s="98" t="s">
        <v>1052</v>
      </c>
      <c r="B489" s="92"/>
      <c r="C489" s="98"/>
      <c r="D489" s="91"/>
      <c r="E489" s="99"/>
      <c r="F489" s="94"/>
      <c r="G489" s="95"/>
      <c r="H489" s="96"/>
      <c r="I489" s="97"/>
    </row>
    <row r="490" spans="1:9" ht="13.5" x14ac:dyDescent="0.25">
      <c r="A490" s="91" t="s">
        <v>750</v>
      </c>
      <c r="B490" s="92" t="s">
        <v>285</v>
      </c>
      <c r="C490" s="91" t="s">
        <v>750</v>
      </c>
      <c r="D490" s="91" t="s">
        <v>261</v>
      </c>
      <c r="E490" s="93">
        <v>31802</v>
      </c>
      <c r="F490" s="94">
        <f t="shared" ref="F490:F505" ca="1" si="17">DATEDIF(E490,TODAY(),"Y")</f>
        <v>29</v>
      </c>
      <c r="G490" s="95" t="s">
        <v>267</v>
      </c>
      <c r="H490" s="96">
        <v>24815</v>
      </c>
      <c r="I490" s="97">
        <v>1</v>
      </c>
    </row>
    <row r="491" spans="1:9" ht="13.5" x14ac:dyDescent="0.25">
      <c r="A491" s="91" t="s">
        <v>750</v>
      </c>
      <c r="B491" s="92" t="s">
        <v>271</v>
      </c>
      <c r="C491" s="91" t="s">
        <v>750</v>
      </c>
      <c r="D491" s="91" t="s">
        <v>256</v>
      </c>
      <c r="E491" s="93">
        <v>31803</v>
      </c>
      <c r="F491" s="94">
        <f t="shared" ca="1" si="17"/>
        <v>29</v>
      </c>
      <c r="G491" s="95" t="s">
        <v>257</v>
      </c>
      <c r="H491" s="96">
        <v>32600</v>
      </c>
      <c r="I491" s="97">
        <v>5</v>
      </c>
    </row>
    <row r="492" spans="1:9" ht="13.5" x14ac:dyDescent="0.25">
      <c r="A492" s="91" t="s">
        <v>750</v>
      </c>
      <c r="B492" s="92" t="s">
        <v>285</v>
      </c>
      <c r="C492" s="91" t="s">
        <v>750</v>
      </c>
      <c r="D492" s="91" t="s">
        <v>252</v>
      </c>
      <c r="E492" s="93">
        <v>31848</v>
      </c>
      <c r="F492" s="94">
        <f t="shared" ca="1" si="17"/>
        <v>29</v>
      </c>
      <c r="G492" s="95"/>
      <c r="H492" s="96">
        <v>33232</v>
      </c>
      <c r="I492" s="97">
        <v>4</v>
      </c>
    </row>
    <row r="493" spans="1:9" ht="13.5" x14ac:dyDescent="0.25">
      <c r="A493" s="91" t="s">
        <v>750</v>
      </c>
      <c r="B493" s="92" t="s">
        <v>245</v>
      </c>
      <c r="C493" s="91" t="s">
        <v>750</v>
      </c>
      <c r="D493" s="91" t="s">
        <v>261</v>
      </c>
      <c r="E493" s="93">
        <v>31850</v>
      </c>
      <c r="F493" s="94">
        <f t="shared" ca="1" si="17"/>
        <v>29</v>
      </c>
      <c r="G493" s="95" t="s">
        <v>262</v>
      </c>
      <c r="H493" s="96">
        <v>39620</v>
      </c>
      <c r="I493" s="97">
        <v>5</v>
      </c>
    </row>
    <row r="494" spans="1:9" ht="13.5" x14ac:dyDescent="0.25">
      <c r="A494" s="91" t="s">
        <v>750</v>
      </c>
      <c r="B494" s="92" t="s">
        <v>266</v>
      </c>
      <c r="C494" s="91" t="s">
        <v>750</v>
      </c>
      <c r="D494" s="91" t="s">
        <v>256</v>
      </c>
      <c r="E494" s="93">
        <v>31869</v>
      </c>
      <c r="F494" s="94">
        <f t="shared" ca="1" si="17"/>
        <v>29</v>
      </c>
      <c r="G494" s="95" t="s">
        <v>283</v>
      </c>
      <c r="H494" s="96">
        <v>43110</v>
      </c>
      <c r="I494" s="97">
        <v>2</v>
      </c>
    </row>
    <row r="495" spans="1:9" ht="13.5" x14ac:dyDescent="0.25">
      <c r="A495" s="91" t="s">
        <v>750</v>
      </c>
      <c r="B495" s="92" t="s">
        <v>285</v>
      </c>
      <c r="C495" s="91" t="s">
        <v>750</v>
      </c>
      <c r="D495" s="91" t="s">
        <v>256</v>
      </c>
      <c r="E495" s="93">
        <v>31876</v>
      </c>
      <c r="F495" s="94">
        <f t="shared" ca="1" si="17"/>
        <v>29</v>
      </c>
      <c r="G495" s="95" t="s">
        <v>257</v>
      </c>
      <c r="H495" s="96">
        <v>40940</v>
      </c>
      <c r="I495" s="97">
        <v>3</v>
      </c>
    </row>
    <row r="496" spans="1:9" ht="13.5" x14ac:dyDescent="0.25">
      <c r="A496" s="91" t="s">
        <v>750</v>
      </c>
      <c r="B496" s="92" t="s">
        <v>285</v>
      </c>
      <c r="C496" s="91" t="s">
        <v>750</v>
      </c>
      <c r="D496" s="91" t="s">
        <v>256</v>
      </c>
      <c r="E496" s="93">
        <v>31936</v>
      </c>
      <c r="F496" s="94">
        <f t="shared" ca="1" si="17"/>
        <v>29</v>
      </c>
      <c r="G496" s="95" t="s">
        <v>257</v>
      </c>
      <c r="H496" s="96">
        <v>71730</v>
      </c>
      <c r="I496" s="97">
        <v>1</v>
      </c>
    </row>
    <row r="497" spans="1:9" ht="13.5" x14ac:dyDescent="0.25">
      <c r="A497" s="91" t="s">
        <v>750</v>
      </c>
      <c r="B497" s="92" t="s">
        <v>285</v>
      </c>
      <c r="C497" s="91" t="s">
        <v>750</v>
      </c>
      <c r="D497" s="91" t="s">
        <v>256</v>
      </c>
      <c r="E497" s="93">
        <v>31970</v>
      </c>
      <c r="F497" s="94">
        <f t="shared" ca="1" si="17"/>
        <v>29</v>
      </c>
      <c r="G497" s="95" t="s">
        <v>257</v>
      </c>
      <c r="H497" s="96">
        <v>87950</v>
      </c>
      <c r="I497" s="97">
        <v>4</v>
      </c>
    </row>
    <row r="498" spans="1:9" ht="13.5" x14ac:dyDescent="0.25">
      <c r="A498" s="91" t="s">
        <v>750</v>
      </c>
      <c r="B498" s="92" t="s">
        <v>251</v>
      </c>
      <c r="C498" s="91" t="s">
        <v>750</v>
      </c>
      <c r="D498" s="91" t="s">
        <v>247</v>
      </c>
      <c r="E498" s="93">
        <v>31976</v>
      </c>
      <c r="F498" s="94">
        <f t="shared" ca="1" si="17"/>
        <v>29</v>
      </c>
      <c r="G498" s="95"/>
      <c r="H498" s="96">
        <v>49070</v>
      </c>
      <c r="I498" s="97">
        <v>3</v>
      </c>
    </row>
    <row r="499" spans="1:9" ht="13.5" x14ac:dyDescent="0.25">
      <c r="A499" s="91" t="s">
        <v>750</v>
      </c>
      <c r="B499" s="92" t="s">
        <v>271</v>
      </c>
      <c r="C499" s="91" t="s">
        <v>750</v>
      </c>
      <c r="D499" s="91" t="s">
        <v>256</v>
      </c>
      <c r="E499" s="93">
        <v>32010</v>
      </c>
      <c r="F499" s="94">
        <f t="shared" ca="1" si="17"/>
        <v>29</v>
      </c>
      <c r="G499" s="95" t="s">
        <v>276</v>
      </c>
      <c r="H499" s="96">
        <v>35320</v>
      </c>
      <c r="I499" s="97">
        <v>3</v>
      </c>
    </row>
    <row r="500" spans="1:9" ht="13.5" x14ac:dyDescent="0.25">
      <c r="A500" s="91" t="s">
        <v>750</v>
      </c>
      <c r="B500" s="92" t="s">
        <v>285</v>
      </c>
      <c r="C500" s="91" t="s">
        <v>750</v>
      </c>
      <c r="D500" s="91" t="s">
        <v>261</v>
      </c>
      <c r="E500" s="93">
        <v>32039</v>
      </c>
      <c r="F500" s="94">
        <f t="shared" ca="1" si="17"/>
        <v>29</v>
      </c>
      <c r="G500" s="95" t="s">
        <v>276</v>
      </c>
      <c r="H500" s="96">
        <v>16015</v>
      </c>
      <c r="I500" s="97">
        <v>3</v>
      </c>
    </row>
    <row r="501" spans="1:9" ht="13.5" x14ac:dyDescent="0.25">
      <c r="A501" s="91" t="s">
        <v>750</v>
      </c>
      <c r="B501" s="92" t="s">
        <v>271</v>
      </c>
      <c r="C501" s="91" t="s">
        <v>750</v>
      </c>
      <c r="D501" s="91" t="s">
        <v>256</v>
      </c>
      <c r="E501" s="93">
        <v>32130</v>
      </c>
      <c r="F501" s="94">
        <f t="shared" ca="1" si="17"/>
        <v>28</v>
      </c>
      <c r="G501" s="95" t="s">
        <v>257</v>
      </c>
      <c r="H501" s="96">
        <v>69400</v>
      </c>
      <c r="I501" s="97">
        <v>5</v>
      </c>
    </row>
    <row r="502" spans="1:9" ht="13.5" x14ac:dyDescent="0.25">
      <c r="A502" s="91" t="s">
        <v>750</v>
      </c>
      <c r="B502" s="92" t="s">
        <v>271</v>
      </c>
      <c r="C502" s="91" t="s">
        <v>750</v>
      </c>
      <c r="D502" s="91" t="s">
        <v>256</v>
      </c>
      <c r="E502" s="93">
        <v>32150</v>
      </c>
      <c r="F502" s="94">
        <f t="shared" ca="1" si="17"/>
        <v>28</v>
      </c>
      <c r="G502" s="95" t="s">
        <v>283</v>
      </c>
      <c r="H502" s="96">
        <v>77720</v>
      </c>
      <c r="I502" s="97">
        <v>3</v>
      </c>
    </row>
    <row r="503" spans="1:9" ht="13.5" x14ac:dyDescent="0.25">
      <c r="A503" s="91" t="s">
        <v>750</v>
      </c>
      <c r="B503" s="92" t="s">
        <v>266</v>
      </c>
      <c r="C503" s="91" t="s">
        <v>750</v>
      </c>
      <c r="D503" s="91" t="s">
        <v>256</v>
      </c>
      <c r="E503" s="93">
        <v>32203</v>
      </c>
      <c r="F503" s="94">
        <f t="shared" ca="1" si="17"/>
        <v>28</v>
      </c>
      <c r="G503" s="95" t="s">
        <v>267</v>
      </c>
      <c r="H503" s="96">
        <v>44560</v>
      </c>
      <c r="I503" s="97">
        <v>2</v>
      </c>
    </row>
    <row r="504" spans="1:9" ht="13.5" x14ac:dyDescent="0.25">
      <c r="A504" s="91" t="s">
        <v>750</v>
      </c>
      <c r="B504" s="92" t="s">
        <v>271</v>
      </c>
      <c r="C504" s="91" t="s">
        <v>750</v>
      </c>
      <c r="D504" s="91" t="s">
        <v>256</v>
      </c>
      <c r="E504" s="93">
        <v>32226</v>
      </c>
      <c r="F504" s="94">
        <f t="shared" ca="1" si="17"/>
        <v>28</v>
      </c>
      <c r="G504" s="95" t="s">
        <v>257</v>
      </c>
      <c r="H504" s="96">
        <v>81530</v>
      </c>
      <c r="I504" s="97">
        <v>5</v>
      </c>
    </row>
    <row r="505" spans="1:9" ht="13.5" x14ac:dyDescent="0.25">
      <c r="A505" s="91" t="s">
        <v>750</v>
      </c>
      <c r="B505" s="92" t="s">
        <v>245</v>
      </c>
      <c r="C505" s="91" t="s">
        <v>750</v>
      </c>
      <c r="D505" s="91" t="s">
        <v>256</v>
      </c>
      <c r="E505" s="93">
        <v>32278</v>
      </c>
      <c r="F505" s="94">
        <f t="shared" ca="1" si="17"/>
        <v>28</v>
      </c>
      <c r="G505" s="95" t="s">
        <v>283</v>
      </c>
      <c r="H505" s="96">
        <v>44620</v>
      </c>
      <c r="I505" s="97">
        <v>5</v>
      </c>
    </row>
    <row r="506" spans="1:9" ht="13.5" x14ac:dyDescent="0.25">
      <c r="A506" s="98" t="s">
        <v>1053</v>
      </c>
      <c r="B506" s="92"/>
      <c r="C506" s="98"/>
      <c r="D506" s="91"/>
      <c r="E506" s="93"/>
      <c r="F506" s="94"/>
      <c r="G506" s="95"/>
      <c r="H506" s="96"/>
      <c r="I506" s="97"/>
    </row>
    <row r="507" spans="1:9" ht="13.5" x14ac:dyDescent="0.25">
      <c r="A507" s="91" t="s">
        <v>767</v>
      </c>
      <c r="B507" s="92" t="s">
        <v>271</v>
      </c>
      <c r="C507" s="91" t="s">
        <v>767</v>
      </c>
      <c r="D507" s="91" t="s">
        <v>256</v>
      </c>
      <c r="E507" s="93">
        <v>31788</v>
      </c>
      <c r="F507" s="94">
        <f t="shared" ref="F507:F570" ca="1" si="18">DATEDIF(E507,TODAY(),"Y")</f>
        <v>29</v>
      </c>
      <c r="G507" s="95" t="s">
        <v>257</v>
      </c>
      <c r="H507" s="96">
        <v>48080</v>
      </c>
      <c r="I507" s="97">
        <v>2</v>
      </c>
    </row>
    <row r="508" spans="1:9" ht="13.5" x14ac:dyDescent="0.25">
      <c r="A508" s="91" t="s">
        <v>767</v>
      </c>
      <c r="B508" s="92" t="s">
        <v>285</v>
      </c>
      <c r="C508" s="91" t="s">
        <v>767</v>
      </c>
      <c r="D508" s="91" t="s">
        <v>256</v>
      </c>
      <c r="E508" s="93">
        <v>31818</v>
      </c>
      <c r="F508" s="94">
        <f t="shared" ca="1" si="18"/>
        <v>29</v>
      </c>
      <c r="G508" s="95" t="s">
        <v>267</v>
      </c>
      <c r="H508" s="96">
        <v>46110</v>
      </c>
      <c r="I508" s="97">
        <v>4</v>
      </c>
    </row>
    <row r="509" spans="1:9" ht="13.5" x14ac:dyDescent="0.25">
      <c r="A509" s="91" t="s">
        <v>767</v>
      </c>
      <c r="B509" s="92" t="s">
        <v>245</v>
      </c>
      <c r="C509" s="91" t="s">
        <v>767</v>
      </c>
      <c r="D509" s="91" t="s">
        <v>247</v>
      </c>
      <c r="E509" s="93">
        <v>31857</v>
      </c>
      <c r="F509" s="94">
        <f t="shared" ca="1" si="18"/>
        <v>29</v>
      </c>
      <c r="G509" s="95"/>
      <c r="H509" s="96">
        <v>23020</v>
      </c>
      <c r="I509" s="97">
        <v>4</v>
      </c>
    </row>
    <row r="510" spans="1:9" ht="13.5" x14ac:dyDescent="0.25">
      <c r="A510" s="91" t="s">
        <v>767</v>
      </c>
      <c r="B510" s="92" t="s">
        <v>271</v>
      </c>
      <c r="C510" s="91" t="s">
        <v>767</v>
      </c>
      <c r="D510" s="91" t="s">
        <v>247</v>
      </c>
      <c r="E510" s="93">
        <v>31924</v>
      </c>
      <c r="F510" s="94">
        <f t="shared" ca="1" si="18"/>
        <v>29</v>
      </c>
      <c r="G510" s="95"/>
      <c r="H510" s="96">
        <v>58650</v>
      </c>
      <c r="I510" s="97">
        <v>4</v>
      </c>
    </row>
    <row r="511" spans="1:9" ht="13.5" x14ac:dyDescent="0.25">
      <c r="A511" s="91" t="s">
        <v>767</v>
      </c>
      <c r="B511" s="92" t="s">
        <v>271</v>
      </c>
      <c r="C511" s="91" t="s">
        <v>767</v>
      </c>
      <c r="D511" s="91" t="s">
        <v>256</v>
      </c>
      <c r="E511" s="93">
        <v>32051</v>
      </c>
      <c r="F511" s="94">
        <f t="shared" ca="1" si="18"/>
        <v>29</v>
      </c>
      <c r="G511" s="95" t="s">
        <v>257</v>
      </c>
      <c r="H511" s="96">
        <v>24090</v>
      </c>
      <c r="I511" s="97">
        <v>4</v>
      </c>
    </row>
    <row r="512" spans="1:9" ht="13.5" x14ac:dyDescent="0.25">
      <c r="A512" s="91" t="s">
        <v>767</v>
      </c>
      <c r="B512" s="92" t="s">
        <v>271</v>
      </c>
      <c r="C512" s="91" t="s">
        <v>767</v>
      </c>
      <c r="D512" s="91" t="s">
        <v>247</v>
      </c>
      <c r="E512" s="93">
        <v>32092</v>
      </c>
      <c r="F512" s="94">
        <f t="shared" ca="1" si="18"/>
        <v>29</v>
      </c>
      <c r="G512" s="95"/>
      <c r="H512" s="96">
        <v>79380</v>
      </c>
      <c r="I512" s="97">
        <v>1</v>
      </c>
    </row>
    <row r="513" spans="1:9" ht="13.5" x14ac:dyDescent="0.25">
      <c r="A513" s="91" t="s">
        <v>767</v>
      </c>
      <c r="B513" s="92" t="s">
        <v>271</v>
      </c>
      <c r="C513" s="91" t="s">
        <v>767</v>
      </c>
      <c r="D513" s="91" t="s">
        <v>256</v>
      </c>
      <c r="E513" s="93">
        <v>32150</v>
      </c>
      <c r="F513" s="94">
        <f t="shared" ca="1" si="18"/>
        <v>28</v>
      </c>
      <c r="G513" s="95" t="s">
        <v>267</v>
      </c>
      <c r="H513" s="96">
        <v>77740</v>
      </c>
      <c r="I513" s="97">
        <v>1</v>
      </c>
    </row>
    <row r="514" spans="1:9" ht="13.5" x14ac:dyDescent="0.25">
      <c r="A514" s="91" t="s">
        <v>767</v>
      </c>
      <c r="B514" s="92" t="s">
        <v>271</v>
      </c>
      <c r="C514" s="91" t="s">
        <v>767</v>
      </c>
      <c r="D514" s="91" t="s">
        <v>256</v>
      </c>
      <c r="E514" s="93">
        <v>32200</v>
      </c>
      <c r="F514" s="94">
        <f t="shared" ca="1" si="18"/>
        <v>28</v>
      </c>
      <c r="G514" s="95" t="s">
        <v>262</v>
      </c>
      <c r="H514" s="96">
        <v>54500</v>
      </c>
      <c r="I514" s="97">
        <v>5</v>
      </c>
    </row>
    <row r="515" spans="1:9" ht="13.5" x14ac:dyDescent="0.25">
      <c r="A515" s="91" t="s">
        <v>767</v>
      </c>
      <c r="B515" s="92" t="s">
        <v>271</v>
      </c>
      <c r="C515" s="91" t="s">
        <v>767</v>
      </c>
      <c r="D515" s="91" t="s">
        <v>247</v>
      </c>
      <c r="E515" s="93">
        <v>32205</v>
      </c>
      <c r="F515" s="94">
        <f t="shared" ca="1" si="18"/>
        <v>28</v>
      </c>
      <c r="G515" s="95"/>
      <c r="H515" s="96">
        <v>52750</v>
      </c>
      <c r="I515" s="97">
        <v>1</v>
      </c>
    </row>
    <row r="516" spans="1:9" ht="13.5" x14ac:dyDescent="0.25">
      <c r="A516" s="91" t="s">
        <v>767</v>
      </c>
      <c r="B516" s="92" t="s">
        <v>271</v>
      </c>
      <c r="C516" s="91" t="s">
        <v>767</v>
      </c>
      <c r="D516" s="91" t="s">
        <v>256</v>
      </c>
      <c r="E516" s="93">
        <v>32216</v>
      </c>
      <c r="F516" s="94">
        <f t="shared" ca="1" si="18"/>
        <v>28</v>
      </c>
      <c r="G516" s="95" t="s">
        <v>267</v>
      </c>
      <c r="H516" s="96">
        <v>79400</v>
      </c>
      <c r="I516" s="97">
        <v>4</v>
      </c>
    </row>
    <row r="517" spans="1:9" ht="13.5" x14ac:dyDescent="0.25">
      <c r="A517" s="91" t="s">
        <v>767</v>
      </c>
      <c r="B517" s="92" t="s">
        <v>285</v>
      </c>
      <c r="C517" s="91" t="s">
        <v>767</v>
      </c>
      <c r="D517" s="91" t="s">
        <v>256</v>
      </c>
      <c r="E517" s="93">
        <v>32263</v>
      </c>
      <c r="F517" s="94">
        <f t="shared" ca="1" si="18"/>
        <v>28</v>
      </c>
      <c r="G517" s="95" t="s">
        <v>276</v>
      </c>
      <c r="H517" s="96">
        <v>71680</v>
      </c>
      <c r="I517" s="97">
        <v>4</v>
      </c>
    </row>
    <row r="518" spans="1:9" ht="13.5" x14ac:dyDescent="0.25">
      <c r="A518" s="91" t="s">
        <v>767</v>
      </c>
      <c r="B518" s="92" t="s">
        <v>245</v>
      </c>
      <c r="C518" s="91" t="s">
        <v>767</v>
      </c>
      <c r="D518" s="91" t="s">
        <v>247</v>
      </c>
      <c r="E518" s="93">
        <v>32268</v>
      </c>
      <c r="F518" s="94">
        <f t="shared" ca="1" si="18"/>
        <v>28</v>
      </c>
      <c r="G518" s="95"/>
      <c r="H518" s="96">
        <v>50840</v>
      </c>
      <c r="I518" s="97">
        <v>4</v>
      </c>
    </row>
    <row r="519" spans="1:9" ht="13.5" x14ac:dyDescent="0.25">
      <c r="A519" s="91" t="s">
        <v>767</v>
      </c>
      <c r="B519" s="92" t="s">
        <v>245</v>
      </c>
      <c r="C519" s="91" t="s">
        <v>767</v>
      </c>
      <c r="D519" s="91" t="s">
        <v>247</v>
      </c>
      <c r="E519" s="93">
        <v>32328</v>
      </c>
      <c r="F519" s="94">
        <f t="shared" ca="1" si="18"/>
        <v>28</v>
      </c>
      <c r="G519" s="95"/>
      <c r="H519" s="96">
        <v>47590</v>
      </c>
      <c r="I519" s="97">
        <v>3</v>
      </c>
    </row>
    <row r="520" spans="1:9" ht="13.5" x14ac:dyDescent="0.25">
      <c r="A520" s="91" t="s">
        <v>767</v>
      </c>
      <c r="B520" s="92" t="s">
        <v>245</v>
      </c>
      <c r="C520" s="91" t="s">
        <v>767</v>
      </c>
      <c r="D520" s="91" t="s">
        <v>247</v>
      </c>
      <c r="E520" s="93">
        <v>32348</v>
      </c>
      <c r="F520" s="94">
        <f t="shared" ca="1" si="18"/>
        <v>28</v>
      </c>
      <c r="G520" s="95"/>
      <c r="H520" s="96">
        <v>60550</v>
      </c>
      <c r="I520" s="97">
        <v>2</v>
      </c>
    </row>
    <row r="521" spans="1:9" ht="13.5" x14ac:dyDescent="0.25">
      <c r="A521" s="91" t="s">
        <v>767</v>
      </c>
      <c r="B521" s="92" t="s">
        <v>245</v>
      </c>
      <c r="C521" s="91" t="s">
        <v>767</v>
      </c>
      <c r="D521" s="91" t="s">
        <v>261</v>
      </c>
      <c r="E521" s="93">
        <v>32361</v>
      </c>
      <c r="F521" s="94">
        <f t="shared" ca="1" si="18"/>
        <v>28</v>
      </c>
      <c r="G521" s="95" t="s">
        <v>257</v>
      </c>
      <c r="H521" s="96">
        <v>46380</v>
      </c>
      <c r="I521" s="97">
        <v>3</v>
      </c>
    </row>
    <row r="522" spans="1:9" ht="13.5" x14ac:dyDescent="0.25">
      <c r="A522" s="91" t="s">
        <v>767</v>
      </c>
      <c r="B522" s="92" t="s">
        <v>271</v>
      </c>
      <c r="C522" s="91" t="s">
        <v>767</v>
      </c>
      <c r="D522" s="91" t="s">
        <v>247</v>
      </c>
      <c r="E522" s="93">
        <v>32639</v>
      </c>
      <c r="F522" s="94">
        <f t="shared" ca="1" si="18"/>
        <v>27</v>
      </c>
      <c r="G522" s="95"/>
      <c r="H522" s="96">
        <v>44720</v>
      </c>
      <c r="I522" s="97">
        <v>2</v>
      </c>
    </row>
    <row r="523" spans="1:9" ht="13.5" x14ac:dyDescent="0.25">
      <c r="A523" s="91" t="s">
        <v>767</v>
      </c>
      <c r="B523" s="92" t="s">
        <v>271</v>
      </c>
      <c r="C523" s="91" t="s">
        <v>767</v>
      </c>
      <c r="D523" s="91" t="s">
        <v>256</v>
      </c>
      <c r="E523" s="93">
        <v>32751</v>
      </c>
      <c r="F523" s="94">
        <f t="shared" ca="1" si="18"/>
        <v>27</v>
      </c>
      <c r="G523" s="95" t="s">
        <v>257</v>
      </c>
      <c r="H523" s="96">
        <v>23320</v>
      </c>
      <c r="I523" s="97">
        <v>4</v>
      </c>
    </row>
    <row r="524" spans="1:9" ht="13.5" x14ac:dyDescent="0.25">
      <c r="A524" s="91" t="s">
        <v>767</v>
      </c>
      <c r="B524" s="92" t="s">
        <v>285</v>
      </c>
      <c r="C524" s="91" t="s">
        <v>767</v>
      </c>
      <c r="D524" s="91" t="s">
        <v>256</v>
      </c>
      <c r="E524" s="93">
        <v>32839</v>
      </c>
      <c r="F524" s="94">
        <f t="shared" ca="1" si="18"/>
        <v>26</v>
      </c>
      <c r="G524" s="95" t="s">
        <v>276</v>
      </c>
      <c r="H524" s="96">
        <v>63440</v>
      </c>
      <c r="I524" s="97">
        <v>3</v>
      </c>
    </row>
    <row r="525" spans="1:9" ht="13.5" x14ac:dyDescent="0.25">
      <c r="A525" s="91" t="s">
        <v>767</v>
      </c>
      <c r="B525" s="92" t="s">
        <v>271</v>
      </c>
      <c r="C525" s="91" t="s">
        <v>767</v>
      </c>
      <c r="D525" s="91" t="s">
        <v>256</v>
      </c>
      <c r="E525" s="93">
        <v>32859</v>
      </c>
      <c r="F525" s="94">
        <f t="shared" ca="1" si="18"/>
        <v>26</v>
      </c>
      <c r="G525" s="95" t="s">
        <v>267</v>
      </c>
      <c r="H525" s="96">
        <v>69420</v>
      </c>
      <c r="I525" s="97">
        <v>2</v>
      </c>
    </row>
    <row r="526" spans="1:9" ht="13.5" x14ac:dyDescent="0.25">
      <c r="A526" s="91" t="s">
        <v>767</v>
      </c>
      <c r="B526" s="92" t="s">
        <v>271</v>
      </c>
      <c r="C526" s="91" t="s">
        <v>767</v>
      </c>
      <c r="D526" s="91" t="s">
        <v>256</v>
      </c>
      <c r="E526" s="93">
        <v>32912</v>
      </c>
      <c r="F526" s="94">
        <f t="shared" ca="1" si="18"/>
        <v>26</v>
      </c>
      <c r="G526" s="95" t="s">
        <v>257</v>
      </c>
      <c r="H526" s="96">
        <v>62688</v>
      </c>
      <c r="I526" s="97">
        <v>2</v>
      </c>
    </row>
    <row r="527" spans="1:9" ht="13.5" x14ac:dyDescent="0.25">
      <c r="A527" s="91" t="s">
        <v>767</v>
      </c>
      <c r="B527" s="92" t="s">
        <v>271</v>
      </c>
      <c r="C527" s="91" t="s">
        <v>767</v>
      </c>
      <c r="D527" s="91" t="s">
        <v>247</v>
      </c>
      <c r="E527" s="93">
        <v>33168</v>
      </c>
      <c r="F527" s="94">
        <f t="shared" ca="1" si="18"/>
        <v>26</v>
      </c>
      <c r="G527" s="95"/>
      <c r="H527" s="96">
        <v>56650</v>
      </c>
      <c r="I527" s="97">
        <v>1</v>
      </c>
    </row>
    <row r="528" spans="1:9" ht="13.5" x14ac:dyDescent="0.25">
      <c r="A528" s="91" t="s">
        <v>767</v>
      </c>
      <c r="B528" s="92" t="s">
        <v>285</v>
      </c>
      <c r="C528" s="91" t="s">
        <v>767</v>
      </c>
      <c r="D528" s="91" t="s">
        <v>247</v>
      </c>
      <c r="E528" s="93">
        <v>33348</v>
      </c>
      <c r="F528" s="94">
        <f t="shared" ca="1" si="18"/>
        <v>25</v>
      </c>
      <c r="G528" s="95"/>
      <c r="H528" s="96">
        <v>85980</v>
      </c>
      <c r="I528" s="97">
        <v>2</v>
      </c>
    </row>
    <row r="529" spans="1:9" ht="13.5" x14ac:dyDescent="0.25">
      <c r="A529" s="91" t="s">
        <v>767</v>
      </c>
      <c r="B529" s="92" t="s">
        <v>280</v>
      </c>
      <c r="C529" s="91" t="s">
        <v>767</v>
      </c>
      <c r="D529" s="91" t="s">
        <v>256</v>
      </c>
      <c r="E529" s="93">
        <v>33383</v>
      </c>
      <c r="F529" s="94">
        <f t="shared" ca="1" si="18"/>
        <v>25</v>
      </c>
      <c r="G529" s="95" t="s">
        <v>262</v>
      </c>
      <c r="H529" s="96">
        <v>88820</v>
      </c>
      <c r="I529" s="97">
        <v>2</v>
      </c>
    </row>
    <row r="530" spans="1:9" ht="13.5" x14ac:dyDescent="0.25">
      <c r="A530" s="91" t="s">
        <v>767</v>
      </c>
      <c r="B530" s="92" t="s">
        <v>271</v>
      </c>
      <c r="C530" s="91" t="s">
        <v>767</v>
      </c>
      <c r="D530" s="91" t="s">
        <v>247</v>
      </c>
      <c r="E530" s="93">
        <v>33416</v>
      </c>
      <c r="F530" s="94">
        <f t="shared" ca="1" si="18"/>
        <v>25</v>
      </c>
      <c r="G530" s="95"/>
      <c r="H530" s="96">
        <v>33120</v>
      </c>
      <c r="I530" s="97">
        <v>2</v>
      </c>
    </row>
    <row r="531" spans="1:9" ht="13.5" x14ac:dyDescent="0.25">
      <c r="A531" s="91" t="s">
        <v>767</v>
      </c>
      <c r="B531" s="92" t="s">
        <v>245</v>
      </c>
      <c r="C531" s="91" t="s">
        <v>767</v>
      </c>
      <c r="D531" s="91" t="s">
        <v>261</v>
      </c>
      <c r="E531" s="93">
        <v>33483</v>
      </c>
      <c r="F531" s="94">
        <f t="shared" ca="1" si="18"/>
        <v>25</v>
      </c>
      <c r="G531" s="95" t="s">
        <v>283</v>
      </c>
      <c r="H531" s="96">
        <v>10700</v>
      </c>
      <c r="I531" s="97">
        <v>4</v>
      </c>
    </row>
    <row r="532" spans="1:9" ht="13.5" x14ac:dyDescent="0.25">
      <c r="A532" s="91" t="s">
        <v>767</v>
      </c>
      <c r="B532" s="92" t="s">
        <v>280</v>
      </c>
      <c r="C532" s="91" t="s">
        <v>767</v>
      </c>
      <c r="D532" s="91" t="s">
        <v>247</v>
      </c>
      <c r="E532" s="93">
        <v>33605</v>
      </c>
      <c r="F532" s="94">
        <f t="shared" ca="1" si="18"/>
        <v>24</v>
      </c>
      <c r="G532" s="95"/>
      <c r="H532" s="96">
        <v>76870</v>
      </c>
      <c r="I532" s="97">
        <v>5</v>
      </c>
    </row>
    <row r="533" spans="1:9" ht="13.5" x14ac:dyDescent="0.25">
      <c r="A533" s="91" t="s">
        <v>767</v>
      </c>
      <c r="B533" s="92" t="s">
        <v>245</v>
      </c>
      <c r="C533" s="91" t="s">
        <v>767</v>
      </c>
      <c r="D533" s="91" t="s">
        <v>256</v>
      </c>
      <c r="E533" s="93">
        <v>33679</v>
      </c>
      <c r="F533" s="94">
        <f t="shared" ca="1" si="18"/>
        <v>24</v>
      </c>
      <c r="G533" s="95" t="s">
        <v>257</v>
      </c>
      <c r="H533" s="96">
        <v>50570</v>
      </c>
      <c r="I533" s="97">
        <v>4</v>
      </c>
    </row>
    <row r="534" spans="1:9" ht="13.5" x14ac:dyDescent="0.25">
      <c r="A534" s="91" t="s">
        <v>767</v>
      </c>
      <c r="B534" s="92" t="s">
        <v>245</v>
      </c>
      <c r="C534" s="91" t="s">
        <v>767</v>
      </c>
      <c r="D534" s="91" t="s">
        <v>256</v>
      </c>
      <c r="E534" s="93">
        <v>33784</v>
      </c>
      <c r="F534" s="94">
        <f t="shared" ca="1" si="18"/>
        <v>24</v>
      </c>
      <c r="G534" s="95" t="s">
        <v>262</v>
      </c>
      <c r="H534" s="96">
        <v>61148</v>
      </c>
      <c r="I534" s="97">
        <v>2</v>
      </c>
    </row>
    <row r="535" spans="1:9" ht="13.5" x14ac:dyDescent="0.25">
      <c r="A535" s="91" t="s">
        <v>767</v>
      </c>
      <c r="B535" s="92" t="s">
        <v>285</v>
      </c>
      <c r="C535" s="91" t="s">
        <v>767</v>
      </c>
      <c r="D535" s="91" t="s">
        <v>247</v>
      </c>
      <c r="E535" s="93">
        <v>33836</v>
      </c>
      <c r="F535" s="94">
        <f t="shared" ca="1" si="18"/>
        <v>24</v>
      </c>
      <c r="G535" s="95"/>
      <c r="H535" s="96">
        <v>73190</v>
      </c>
      <c r="I535" s="97">
        <v>1</v>
      </c>
    </row>
    <row r="536" spans="1:9" ht="13.5" x14ac:dyDescent="0.25">
      <c r="A536" s="91" t="s">
        <v>767</v>
      </c>
      <c r="B536" s="92" t="s">
        <v>245</v>
      </c>
      <c r="C536" s="91" t="s">
        <v>767</v>
      </c>
      <c r="D536" s="91" t="s">
        <v>256</v>
      </c>
      <c r="E536" s="93">
        <v>33841</v>
      </c>
      <c r="F536" s="94">
        <f t="shared" ca="1" si="18"/>
        <v>24</v>
      </c>
      <c r="G536" s="95" t="s">
        <v>276</v>
      </c>
      <c r="H536" s="96">
        <v>29760</v>
      </c>
      <c r="I536" s="97">
        <v>2</v>
      </c>
    </row>
    <row r="537" spans="1:9" ht="13.5" x14ac:dyDescent="0.25">
      <c r="A537" s="91" t="s">
        <v>767</v>
      </c>
      <c r="B537" s="92" t="s">
        <v>245</v>
      </c>
      <c r="C537" s="91" t="s">
        <v>767</v>
      </c>
      <c r="D537" s="91" t="s">
        <v>256</v>
      </c>
      <c r="E537" s="93">
        <v>33841</v>
      </c>
      <c r="F537" s="94">
        <f t="shared" ca="1" si="18"/>
        <v>24</v>
      </c>
      <c r="G537" s="95" t="s">
        <v>276</v>
      </c>
      <c r="H537" s="96">
        <v>29760</v>
      </c>
      <c r="I537" s="97">
        <v>2</v>
      </c>
    </row>
    <row r="538" spans="1:9" ht="13.5" x14ac:dyDescent="0.25">
      <c r="A538" s="91" t="s">
        <v>767</v>
      </c>
      <c r="B538" s="92" t="s">
        <v>285</v>
      </c>
      <c r="C538" s="91" t="s">
        <v>767</v>
      </c>
      <c r="D538" s="91" t="s">
        <v>256</v>
      </c>
      <c r="E538" s="93">
        <v>33859</v>
      </c>
      <c r="F538" s="94">
        <f t="shared" ca="1" si="18"/>
        <v>24</v>
      </c>
      <c r="G538" s="95" t="s">
        <v>276</v>
      </c>
      <c r="H538" s="96">
        <v>72640</v>
      </c>
      <c r="I538" s="97">
        <v>3</v>
      </c>
    </row>
    <row r="539" spans="1:9" ht="13.5" x14ac:dyDescent="0.25">
      <c r="A539" s="91" t="s">
        <v>767</v>
      </c>
      <c r="B539" s="92" t="s">
        <v>271</v>
      </c>
      <c r="C539" s="91" t="s">
        <v>767</v>
      </c>
      <c r="D539" s="91" t="s">
        <v>256</v>
      </c>
      <c r="E539" s="93">
        <v>33909</v>
      </c>
      <c r="F539" s="94">
        <f t="shared" ca="1" si="18"/>
        <v>24</v>
      </c>
      <c r="G539" s="95" t="s">
        <v>257</v>
      </c>
      <c r="H539" s="96">
        <v>47340</v>
      </c>
      <c r="I539" s="97">
        <v>2</v>
      </c>
    </row>
    <row r="540" spans="1:9" ht="13.5" x14ac:dyDescent="0.25">
      <c r="A540" s="91" t="s">
        <v>767</v>
      </c>
      <c r="B540" s="92" t="s">
        <v>245</v>
      </c>
      <c r="C540" s="91" t="s">
        <v>767</v>
      </c>
      <c r="D540" s="91" t="s">
        <v>256</v>
      </c>
      <c r="E540" s="93">
        <v>33976</v>
      </c>
      <c r="F540" s="94">
        <f t="shared" ca="1" si="18"/>
        <v>23</v>
      </c>
      <c r="G540" s="95" t="s">
        <v>262</v>
      </c>
      <c r="H540" s="96">
        <v>72700</v>
      </c>
      <c r="I540" s="97">
        <v>5</v>
      </c>
    </row>
    <row r="541" spans="1:9" ht="13.5" x14ac:dyDescent="0.25">
      <c r="A541" s="91" t="s">
        <v>767</v>
      </c>
      <c r="B541" s="92" t="s">
        <v>285</v>
      </c>
      <c r="C541" s="91" t="s">
        <v>767</v>
      </c>
      <c r="D541" s="91" t="s">
        <v>247</v>
      </c>
      <c r="E541" s="93">
        <v>33991</v>
      </c>
      <c r="F541" s="94">
        <f t="shared" ca="1" si="18"/>
        <v>23</v>
      </c>
      <c r="G541" s="95"/>
      <c r="H541" s="96">
        <v>60070</v>
      </c>
      <c r="I541" s="97">
        <v>2</v>
      </c>
    </row>
    <row r="542" spans="1:9" ht="13.5" x14ac:dyDescent="0.25">
      <c r="A542" s="91" t="s">
        <v>767</v>
      </c>
      <c r="B542" s="92" t="s">
        <v>285</v>
      </c>
      <c r="C542" s="91" t="s">
        <v>767</v>
      </c>
      <c r="D542" s="91" t="s">
        <v>256</v>
      </c>
      <c r="E542" s="93">
        <v>34218</v>
      </c>
      <c r="F542" s="94">
        <f t="shared" ca="1" si="18"/>
        <v>23</v>
      </c>
      <c r="G542" s="95" t="s">
        <v>257</v>
      </c>
      <c r="H542" s="96">
        <v>63270</v>
      </c>
      <c r="I542" s="97">
        <v>1</v>
      </c>
    </row>
    <row r="543" spans="1:9" ht="13.5" x14ac:dyDescent="0.25">
      <c r="A543" s="91" t="s">
        <v>767</v>
      </c>
      <c r="B543" s="92" t="s">
        <v>245</v>
      </c>
      <c r="C543" s="91" t="s">
        <v>767</v>
      </c>
      <c r="D543" s="91" t="s">
        <v>247</v>
      </c>
      <c r="E543" s="93">
        <v>34231</v>
      </c>
      <c r="F543" s="94">
        <f t="shared" ca="1" si="18"/>
        <v>23</v>
      </c>
      <c r="G543" s="95"/>
      <c r="H543" s="96">
        <v>49530</v>
      </c>
      <c r="I543" s="97">
        <v>4</v>
      </c>
    </row>
    <row r="544" spans="1:9" ht="13.5" x14ac:dyDescent="0.25">
      <c r="A544" s="91" t="s">
        <v>767</v>
      </c>
      <c r="B544" s="92" t="s">
        <v>285</v>
      </c>
      <c r="C544" s="91" t="s">
        <v>767</v>
      </c>
      <c r="D544" s="91" t="s">
        <v>256</v>
      </c>
      <c r="E544" s="93">
        <v>34306</v>
      </c>
      <c r="F544" s="94">
        <f t="shared" ca="1" si="18"/>
        <v>22</v>
      </c>
      <c r="G544" s="95" t="s">
        <v>283</v>
      </c>
      <c r="H544" s="96">
        <v>34060</v>
      </c>
      <c r="I544" s="97">
        <v>2</v>
      </c>
    </row>
    <row r="545" spans="1:9" ht="13.5" x14ac:dyDescent="0.25">
      <c r="A545" s="91" t="s">
        <v>767</v>
      </c>
      <c r="B545" s="92" t="s">
        <v>285</v>
      </c>
      <c r="C545" s="91" t="s">
        <v>767</v>
      </c>
      <c r="D545" s="91" t="s">
        <v>256</v>
      </c>
      <c r="E545" s="93">
        <v>34383</v>
      </c>
      <c r="F545" s="94">
        <f t="shared" ca="1" si="18"/>
        <v>22</v>
      </c>
      <c r="G545" s="95" t="s">
        <v>262</v>
      </c>
      <c r="H545" s="96">
        <v>24340</v>
      </c>
      <c r="I545" s="97">
        <v>4</v>
      </c>
    </row>
    <row r="546" spans="1:9" ht="13.5" x14ac:dyDescent="0.25">
      <c r="A546" s="91" t="s">
        <v>767</v>
      </c>
      <c r="B546" s="92" t="s">
        <v>251</v>
      </c>
      <c r="C546" s="91" t="s">
        <v>767</v>
      </c>
      <c r="D546" s="91" t="s">
        <v>247</v>
      </c>
      <c r="E546" s="93">
        <v>34389</v>
      </c>
      <c r="F546" s="94">
        <f t="shared" ca="1" si="18"/>
        <v>22</v>
      </c>
      <c r="G546" s="95"/>
      <c r="H546" s="96">
        <v>36230</v>
      </c>
      <c r="I546" s="97">
        <v>2</v>
      </c>
    </row>
    <row r="547" spans="1:9" ht="13.5" x14ac:dyDescent="0.25">
      <c r="A547" s="91" t="s">
        <v>767</v>
      </c>
      <c r="B547" s="92" t="s">
        <v>245</v>
      </c>
      <c r="C547" s="91" t="s">
        <v>767</v>
      </c>
      <c r="D547" s="91" t="s">
        <v>256</v>
      </c>
      <c r="E547" s="93">
        <v>34511</v>
      </c>
      <c r="F547" s="94">
        <f t="shared" ca="1" si="18"/>
        <v>22</v>
      </c>
      <c r="G547" s="95" t="s">
        <v>267</v>
      </c>
      <c r="H547" s="96">
        <v>22870</v>
      </c>
      <c r="I547" s="97">
        <v>3</v>
      </c>
    </row>
    <row r="548" spans="1:9" ht="13.5" x14ac:dyDescent="0.25">
      <c r="A548" s="91" t="s">
        <v>767</v>
      </c>
      <c r="B548" s="92" t="s">
        <v>280</v>
      </c>
      <c r="C548" s="91" t="s">
        <v>767</v>
      </c>
      <c r="D548" s="91" t="s">
        <v>261</v>
      </c>
      <c r="E548" s="93">
        <v>34516</v>
      </c>
      <c r="F548" s="94">
        <f t="shared" ca="1" si="18"/>
        <v>22</v>
      </c>
      <c r="G548" s="95" t="s">
        <v>257</v>
      </c>
      <c r="H548" s="96">
        <v>31205</v>
      </c>
      <c r="I548" s="97">
        <v>2</v>
      </c>
    </row>
    <row r="549" spans="1:9" ht="13.5" x14ac:dyDescent="0.25">
      <c r="A549" s="91" t="s">
        <v>767</v>
      </c>
      <c r="B549" s="92" t="s">
        <v>251</v>
      </c>
      <c r="C549" s="91" t="s">
        <v>767</v>
      </c>
      <c r="D549" s="91" t="s">
        <v>256</v>
      </c>
      <c r="E549" s="93">
        <v>34608</v>
      </c>
      <c r="F549" s="94">
        <f t="shared" ca="1" si="18"/>
        <v>22</v>
      </c>
      <c r="G549" s="95" t="s">
        <v>262</v>
      </c>
      <c r="H549" s="96">
        <v>73740</v>
      </c>
      <c r="I549" s="97">
        <v>4</v>
      </c>
    </row>
    <row r="550" spans="1:9" ht="13.5" x14ac:dyDescent="0.25">
      <c r="A550" s="91" t="s">
        <v>767</v>
      </c>
      <c r="B550" s="92" t="s">
        <v>245</v>
      </c>
      <c r="C550" s="91" t="s">
        <v>767</v>
      </c>
      <c r="D550" s="91" t="s">
        <v>252</v>
      </c>
      <c r="E550" s="93">
        <v>34636</v>
      </c>
      <c r="F550" s="94">
        <f t="shared" ca="1" si="18"/>
        <v>22</v>
      </c>
      <c r="G550" s="95"/>
      <c r="H550" s="96">
        <v>14332</v>
      </c>
      <c r="I550" s="97">
        <v>5</v>
      </c>
    </row>
    <row r="551" spans="1:9" ht="13.5" x14ac:dyDescent="0.25">
      <c r="A551" s="91" t="s">
        <v>767</v>
      </c>
      <c r="B551" s="92" t="s">
        <v>285</v>
      </c>
      <c r="C551" s="91" t="s">
        <v>767</v>
      </c>
      <c r="D551" s="91" t="s">
        <v>256</v>
      </c>
      <c r="E551" s="93">
        <v>34648</v>
      </c>
      <c r="F551" s="94">
        <f t="shared" ca="1" si="18"/>
        <v>22</v>
      </c>
      <c r="G551" s="95" t="s">
        <v>283</v>
      </c>
      <c r="H551" s="96">
        <v>61420</v>
      </c>
      <c r="I551" s="97">
        <v>4</v>
      </c>
    </row>
    <row r="552" spans="1:9" ht="13.5" x14ac:dyDescent="0.25">
      <c r="A552" s="91" t="s">
        <v>767</v>
      </c>
      <c r="B552" s="92" t="s">
        <v>271</v>
      </c>
      <c r="C552" s="91" t="s">
        <v>767</v>
      </c>
      <c r="D552" s="91" t="s">
        <v>256</v>
      </c>
      <c r="E552" s="93">
        <v>34680</v>
      </c>
      <c r="F552" s="94">
        <f t="shared" ca="1" si="18"/>
        <v>21</v>
      </c>
      <c r="G552" s="95" t="s">
        <v>276</v>
      </c>
      <c r="H552" s="96">
        <v>36890</v>
      </c>
      <c r="I552" s="97">
        <v>1</v>
      </c>
    </row>
    <row r="553" spans="1:9" ht="13.5" x14ac:dyDescent="0.25">
      <c r="A553" s="91" t="s">
        <v>767</v>
      </c>
      <c r="B553" s="92" t="s">
        <v>285</v>
      </c>
      <c r="C553" s="91" t="s">
        <v>767</v>
      </c>
      <c r="D553" s="91" t="s">
        <v>252</v>
      </c>
      <c r="E553" s="93">
        <v>34718</v>
      </c>
      <c r="F553" s="94">
        <f t="shared" ca="1" si="18"/>
        <v>21</v>
      </c>
      <c r="G553" s="95"/>
      <c r="H553" s="96">
        <v>16688</v>
      </c>
      <c r="I553" s="97">
        <v>3</v>
      </c>
    </row>
    <row r="554" spans="1:9" ht="13.5" x14ac:dyDescent="0.25">
      <c r="A554" s="91" t="s">
        <v>767</v>
      </c>
      <c r="B554" s="92" t="s">
        <v>285</v>
      </c>
      <c r="C554" s="91" t="s">
        <v>767</v>
      </c>
      <c r="D554" s="91" t="s">
        <v>261</v>
      </c>
      <c r="E554" s="93">
        <v>34774</v>
      </c>
      <c r="F554" s="94">
        <f t="shared" ca="1" si="18"/>
        <v>21</v>
      </c>
      <c r="G554" s="95" t="s">
        <v>262</v>
      </c>
      <c r="H554" s="96">
        <v>45750</v>
      </c>
      <c r="I554" s="97">
        <v>5</v>
      </c>
    </row>
    <row r="555" spans="1:9" ht="13.5" x14ac:dyDescent="0.25">
      <c r="A555" s="91" t="s">
        <v>767</v>
      </c>
      <c r="B555" s="92" t="s">
        <v>245</v>
      </c>
      <c r="C555" s="91" t="s">
        <v>767</v>
      </c>
      <c r="D555" s="91" t="s">
        <v>247</v>
      </c>
      <c r="E555" s="93">
        <v>34776</v>
      </c>
      <c r="F555" s="94">
        <f t="shared" ca="1" si="18"/>
        <v>21</v>
      </c>
      <c r="G555" s="95"/>
      <c r="H555" s="96">
        <v>47520</v>
      </c>
      <c r="I555" s="97">
        <v>1</v>
      </c>
    </row>
    <row r="556" spans="1:9" ht="13.5" x14ac:dyDescent="0.25">
      <c r="A556" s="91" t="s">
        <v>767</v>
      </c>
      <c r="B556" s="92" t="s">
        <v>271</v>
      </c>
      <c r="C556" s="91" t="s">
        <v>767</v>
      </c>
      <c r="D556" s="91" t="s">
        <v>256</v>
      </c>
      <c r="E556" s="93">
        <v>34778</v>
      </c>
      <c r="F556" s="94">
        <f t="shared" ca="1" si="18"/>
        <v>21</v>
      </c>
      <c r="G556" s="95" t="s">
        <v>267</v>
      </c>
      <c r="H556" s="96">
        <v>54580</v>
      </c>
      <c r="I556" s="97">
        <v>4</v>
      </c>
    </row>
    <row r="557" spans="1:9" ht="13.5" x14ac:dyDescent="0.25">
      <c r="A557" s="91" t="s">
        <v>767</v>
      </c>
      <c r="B557" s="92" t="s">
        <v>251</v>
      </c>
      <c r="C557" s="91" t="s">
        <v>767</v>
      </c>
      <c r="D557" s="91" t="s">
        <v>256</v>
      </c>
      <c r="E557" s="93">
        <v>34826</v>
      </c>
      <c r="F557" s="94">
        <f t="shared" ca="1" si="18"/>
        <v>21</v>
      </c>
      <c r="G557" s="95" t="s">
        <v>283</v>
      </c>
      <c r="H557" s="96">
        <v>45000</v>
      </c>
      <c r="I557" s="97">
        <v>4</v>
      </c>
    </row>
    <row r="558" spans="1:9" ht="13.5" x14ac:dyDescent="0.25">
      <c r="A558" s="91" t="s">
        <v>767</v>
      </c>
      <c r="B558" s="92" t="s">
        <v>271</v>
      </c>
      <c r="C558" s="91" t="s">
        <v>767</v>
      </c>
      <c r="D558" s="91" t="s">
        <v>256</v>
      </c>
      <c r="E558" s="93">
        <v>34885</v>
      </c>
      <c r="F558" s="94">
        <f t="shared" ca="1" si="18"/>
        <v>21</v>
      </c>
      <c r="G558" s="95" t="s">
        <v>267</v>
      </c>
      <c r="H558" s="96">
        <v>46360</v>
      </c>
      <c r="I558" s="97">
        <v>5</v>
      </c>
    </row>
    <row r="559" spans="1:9" ht="13.5" x14ac:dyDescent="0.25">
      <c r="A559" s="91" t="s">
        <v>767</v>
      </c>
      <c r="B559" s="92" t="s">
        <v>271</v>
      </c>
      <c r="C559" s="91" t="s">
        <v>767</v>
      </c>
      <c r="D559" s="91" t="s">
        <v>256</v>
      </c>
      <c r="E559" s="93">
        <v>34885</v>
      </c>
      <c r="F559" s="94">
        <f t="shared" ca="1" si="18"/>
        <v>21</v>
      </c>
      <c r="G559" s="95" t="s">
        <v>267</v>
      </c>
      <c r="H559" s="96">
        <v>46360</v>
      </c>
      <c r="I559" s="97">
        <v>5</v>
      </c>
    </row>
    <row r="560" spans="1:9" ht="13.5" x14ac:dyDescent="0.25">
      <c r="A560" s="91" t="s">
        <v>767</v>
      </c>
      <c r="B560" s="92" t="s">
        <v>280</v>
      </c>
      <c r="C560" s="91" t="s">
        <v>767</v>
      </c>
      <c r="D560" s="91" t="s">
        <v>261</v>
      </c>
      <c r="E560" s="93">
        <v>34907</v>
      </c>
      <c r="F560" s="94">
        <f t="shared" ca="1" si="18"/>
        <v>21</v>
      </c>
      <c r="G560" s="95" t="s">
        <v>283</v>
      </c>
      <c r="H560" s="96">
        <v>22475</v>
      </c>
      <c r="I560" s="97">
        <v>4</v>
      </c>
    </row>
    <row r="561" spans="1:9" ht="13.5" x14ac:dyDescent="0.25">
      <c r="A561" s="91" t="s">
        <v>767</v>
      </c>
      <c r="B561" s="92" t="s">
        <v>271</v>
      </c>
      <c r="C561" s="91" t="s">
        <v>767</v>
      </c>
      <c r="D561" s="91" t="s">
        <v>247</v>
      </c>
      <c r="E561" s="93">
        <v>34987</v>
      </c>
      <c r="F561" s="94">
        <f t="shared" ca="1" si="18"/>
        <v>21</v>
      </c>
      <c r="G561" s="95"/>
      <c r="H561" s="96">
        <v>57990</v>
      </c>
      <c r="I561" s="97">
        <v>5</v>
      </c>
    </row>
    <row r="562" spans="1:9" ht="13.5" x14ac:dyDescent="0.25">
      <c r="A562" s="91" t="s">
        <v>767</v>
      </c>
      <c r="B562" s="92" t="s">
        <v>285</v>
      </c>
      <c r="C562" s="91" t="s">
        <v>767</v>
      </c>
      <c r="D562" s="91" t="s">
        <v>252</v>
      </c>
      <c r="E562" s="93">
        <v>35030</v>
      </c>
      <c r="F562" s="94">
        <f t="shared" ca="1" si="18"/>
        <v>20</v>
      </c>
      <c r="G562" s="95"/>
      <c r="H562" s="96">
        <v>37016</v>
      </c>
      <c r="I562" s="97">
        <v>4</v>
      </c>
    </row>
    <row r="563" spans="1:9" ht="13.5" x14ac:dyDescent="0.25">
      <c r="A563" s="91" t="s">
        <v>767</v>
      </c>
      <c r="B563" s="92" t="s">
        <v>266</v>
      </c>
      <c r="C563" s="91" t="s">
        <v>767</v>
      </c>
      <c r="D563" s="91" t="s">
        <v>247</v>
      </c>
      <c r="E563" s="93">
        <v>35065</v>
      </c>
      <c r="F563" s="94">
        <f t="shared" ca="1" si="18"/>
        <v>20</v>
      </c>
      <c r="G563" s="95"/>
      <c r="H563" s="96">
        <v>71300</v>
      </c>
      <c r="I563" s="97">
        <v>5</v>
      </c>
    </row>
    <row r="564" spans="1:9" ht="13.5" x14ac:dyDescent="0.25">
      <c r="A564" s="91" t="s">
        <v>767</v>
      </c>
      <c r="B564" s="92" t="s">
        <v>271</v>
      </c>
      <c r="C564" s="91" t="s">
        <v>767</v>
      </c>
      <c r="D564" s="91" t="s">
        <v>252</v>
      </c>
      <c r="E564" s="93">
        <v>35070</v>
      </c>
      <c r="F564" s="94">
        <f t="shared" ca="1" si="18"/>
        <v>20</v>
      </c>
      <c r="G564" s="95"/>
      <c r="H564" s="96">
        <v>36052</v>
      </c>
      <c r="I564" s="97">
        <v>5</v>
      </c>
    </row>
    <row r="565" spans="1:9" ht="13.5" x14ac:dyDescent="0.25">
      <c r="A565" s="91" t="s">
        <v>767</v>
      </c>
      <c r="B565" s="92" t="s">
        <v>271</v>
      </c>
      <c r="C565" s="91" t="s">
        <v>767</v>
      </c>
      <c r="D565" s="91" t="s">
        <v>256</v>
      </c>
      <c r="E565" s="93">
        <v>35083</v>
      </c>
      <c r="F565" s="94">
        <f t="shared" ca="1" si="18"/>
        <v>20</v>
      </c>
      <c r="G565" s="95" t="s">
        <v>283</v>
      </c>
      <c r="H565" s="96">
        <v>65910</v>
      </c>
      <c r="I565" s="97">
        <v>5</v>
      </c>
    </row>
    <row r="566" spans="1:9" ht="13.5" x14ac:dyDescent="0.25">
      <c r="A566" s="91" t="s">
        <v>767</v>
      </c>
      <c r="B566" s="92" t="s">
        <v>271</v>
      </c>
      <c r="C566" s="91" t="s">
        <v>767</v>
      </c>
      <c r="D566" s="91" t="s">
        <v>256</v>
      </c>
      <c r="E566" s="93">
        <v>35226</v>
      </c>
      <c r="F566" s="94">
        <f t="shared" ca="1" si="18"/>
        <v>20</v>
      </c>
      <c r="G566" s="95" t="s">
        <v>257</v>
      </c>
      <c r="H566" s="96">
        <v>62400</v>
      </c>
      <c r="I566" s="97">
        <v>4</v>
      </c>
    </row>
    <row r="567" spans="1:9" ht="13.5" x14ac:dyDescent="0.25">
      <c r="A567" s="91" t="s">
        <v>767</v>
      </c>
      <c r="B567" s="92" t="s">
        <v>271</v>
      </c>
      <c r="C567" s="91" t="s">
        <v>767</v>
      </c>
      <c r="D567" s="91" t="s">
        <v>256</v>
      </c>
      <c r="E567" s="93">
        <v>35363</v>
      </c>
      <c r="F567" s="94">
        <f t="shared" ca="1" si="18"/>
        <v>20</v>
      </c>
      <c r="G567" s="95" t="s">
        <v>276</v>
      </c>
      <c r="H567" s="96">
        <v>48330</v>
      </c>
      <c r="I567" s="97">
        <v>1</v>
      </c>
    </row>
    <row r="568" spans="1:9" ht="13.5" x14ac:dyDescent="0.25">
      <c r="A568" s="91" t="s">
        <v>767</v>
      </c>
      <c r="B568" s="92" t="s">
        <v>285</v>
      </c>
      <c r="C568" s="91" t="s">
        <v>767</v>
      </c>
      <c r="D568" s="91" t="s">
        <v>247</v>
      </c>
      <c r="E568" s="93">
        <v>35477</v>
      </c>
      <c r="F568" s="94">
        <f t="shared" ca="1" si="18"/>
        <v>19</v>
      </c>
      <c r="G568" s="95"/>
      <c r="H568" s="96">
        <v>89640</v>
      </c>
      <c r="I568" s="97">
        <v>4</v>
      </c>
    </row>
    <row r="569" spans="1:9" ht="13.5" x14ac:dyDescent="0.25">
      <c r="A569" s="91" t="s">
        <v>767</v>
      </c>
      <c r="B569" s="92" t="s">
        <v>271</v>
      </c>
      <c r="C569" s="91" t="s">
        <v>767</v>
      </c>
      <c r="D569" s="91" t="s">
        <v>256</v>
      </c>
      <c r="E569" s="93">
        <v>35828</v>
      </c>
      <c r="F569" s="94">
        <f t="shared" ca="1" si="18"/>
        <v>18</v>
      </c>
      <c r="G569" s="95" t="s">
        <v>257</v>
      </c>
      <c r="H569" s="96">
        <v>29130</v>
      </c>
      <c r="I569" s="97">
        <v>1</v>
      </c>
    </row>
    <row r="570" spans="1:9" ht="13.5" x14ac:dyDescent="0.25">
      <c r="A570" s="91" t="s">
        <v>767</v>
      </c>
      <c r="B570" s="92" t="s">
        <v>271</v>
      </c>
      <c r="C570" s="91" t="s">
        <v>767</v>
      </c>
      <c r="D570" s="91" t="s">
        <v>261</v>
      </c>
      <c r="E570" s="93">
        <v>35939</v>
      </c>
      <c r="F570" s="94">
        <f t="shared" ca="1" si="18"/>
        <v>18</v>
      </c>
      <c r="G570" s="95" t="s">
        <v>276</v>
      </c>
      <c r="H570" s="96">
        <v>12545</v>
      </c>
      <c r="I570" s="97">
        <v>4</v>
      </c>
    </row>
    <row r="571" spans="1:9" ht="13.5" x14ac:dyDescent="0.25">
      <c r="A571" s="91" t="s">
        <v>767</v>
      </c>
      <c r="B571" s="92" t="s">
        <v>271</v>
      </c>
      <c r="C571" s="91" t="s">
        <v>767</v>
      </c>
      <c r="D571" s="91" t="s">
        <v>247</v>
      </c>
      <c r="E571" s="93">
        <v>36094</v>
      </c>
      <c r="F571" s="94">
        <f t="shared" ref="F571:F597" ca="1" si="19">DATEDIF(E571,TODAY(),"Y")</f>
        <v>18</v>
      </c>
      <c r="G571" s="95"/>
      <c r="H571" s="96">
        <v>60070</v>
      </c>
      <c r="I571" s="97">
        <v>3</v>
      </c>
    </row>
    <row r="572" spans="1:9" ht="13.5" x14ac:dyDescent="0.25">
      <c r="A572" s="91" t="s">
        <v>767</v>
      </c>
      <c r="B572" s="92" t="s">
        <v>285</v>
      </c>
      <c r="C572" s="91" t="s">
        <v>767</v>
      </c>
      <c r="D572" s="91" t="s">
        <v>247</v>
      </c>
      <c r="E572" s="93">
        <v>36216</v>
      </c>
      <c r="F572" s="94">
        <f t="shared" ca="1" si="19"/>
        <v>17</v>
      </c>
      <c r="G572" s="95"/>
      <c r="H572" s="96">
        <v>61580</v>
      </c>
      <c r="I572" s="97">
        <v>3</v>
      </c>
    </row>
    <row r="573" spans="1:9" ht="13.5" x14ac:dyDescent="0.25">
      <c r="A573" s="91" t="s">
        <v>767</v>
      </c>
      <c r="B573" s="92" t="s">
        <v>285</v>
      </c>
      <c r="C573" s="91" t="s">
        <v>767</v>
      </c>
      <c r="D573" s="91" t="s">
        <v>256</v>
      </c>
      <c r="E573" s="93">
        <v>36258</v>
      </c>
      <c r="F573" s="94">
        <f t="shared" ca="1" si="19"/>
        <v>17</v>
      </c>
      <c r="G573" s="95" t="s">
        <v>262</v>
      </c>
      <c r="H573" s="96">
        <v>45100</v>
      </c>
      <c r="I573" s="97">
        <v>2</v>
      </c>
    </row>
    <row r="574" spans="1:9" ht="13.5" x14ac:dyDescent="0.25">
      <c r="A574" s="91" t="s">
        <v>767</v>
      </c>
      <c r="B574" s="92" t="s">
        <v>285</v>
      </c>
      <c r="C574" s="91" t="s">
        <v>767</v>
      </c>
      <c r="D574" s="91" t="s">
        <v>256</v>
      </c>
      <c r="E574" s="93">
        <v>36391</v>
      </c>
      <c r="F574" s="94">
        <f t="shared" ca="1" si="19"/>
        <v>17</v>
      </c>
      <c r="G574" s="95" t="s">
        <v>262</v>
      </c>
      <c r="H574" s="96">
        <v>23560</v>
      </c>
      <c r="I574" s="97">
        <v>3</v>
      </c>
    </row>
    <row r="575" spans="1:9" ht="13.5" x14ac:dyDescent="0.25">
      <c r="A575" s="91" t="s">
        <v>767</v>
      </c>
      <c r="B575" s="92" t="s">
        <v>280</v>
      </c>
      <c r="C575" s="91" t="s">
        <v>767</v>
      </c>
      <c r="D575" s="91" t="s">
        <v>256</v>
      </c>
      <c r="E575" s="93">
        <v>36538</v>
      </c>
      <c r="F575" s="94">
        <f t="shared" ca="1" si="19"/>
        <v>16</v>
      </c>
      <c r="G575" s="95" t="s">
        <v>262</v>
      </c>
      <c r="H575" s="96">
        <v>76910</v>
      </c>
      <c r="I575" s="97">
        <v>2</v>
      </c>
    </row>
    <row r="576" spans="1:9" ht="13.5" x14ac:dyDescent="0.25">
      <c r="A576" s="91" t="s">
        <v>767</v>
      </c>
      <c r="B576" s="92" t="s">
        <v>285</v>
      </c>
      <c r="C576" s="91" t="s">
        <v>767</v>
      </c>
      <c r="D576" s="91" t="s">
        <v>261</v>
      </c>
      <c r="E576" s="93">
        <v>36863</v>
      </c>
      <c r="F576" s="94">
        <f t="shared" ca="1" si="19"/>
        <v>15</v>
      </c>
      <c r="G576" s="95" t="s">
        <v>283</v>
      </c>
      <c r="H576" s="96">
        <v>32900</v>
      </c>
      <c r="I576" s="97">
        <v>2</v>
      </c>
    </row>
    <row r="577" spans="1:9" ht="13.5" x14ac:dyDescent="0.25">
      <c r="A577" s="91" t="s">
        <v>767</v>
      </c>
      <c r="B577" s="92" t="s">
        <v>266</v>
      </c>
      <c r="C577" s="91" t="s">
        <v>767</v>
      </c>
      <c r="D577" s="91" t="s">
        <v>256</v>
      </c>
      <c r="E577" s="93">
        <v>37113</v>
      </c>
      <c r="F577" s="94">
        <f t="shared" ca="1" si="19"/>
        <v>15</v>
      </c>
      <c r="G577" s="95" t="s">
        <v>276</v>
      </c>
      <c r="H577" s="96">
        <v>61330</v>
      </c>
      <c r="I577" s="97">
        <v>2</v>
      </c>
    </row>
    <row r="578" spans="1:9" ht="13.5" x14ac:dyDescent="0.25">
      <c r="A578" s="91" t="s">
        <v>767</v>
      </c>
      <c r="B578" s="92" t="s">
        <v>266</v>
      </c>
      <c r="C578" s="91" t="s">
        <v>767</v>
      </c>
      <c r="D578" s="91" t="s">
        <v>261</v>
      </c>
      <c r="E578" s="93">
        <v>37413</v>
      </c>
      <c r="F578" s="94">
        <f t="shared" ca="1" si="19"/>
        <v>14</v>
      </c>
      <c r="G578" s="95" t="s">
        <v>283</v>
      </c>
      <c r="H578" s="96">
        <v>10630</v>
      </c>
      <c r="I578" s="97">
        <v>3</v>
      </c>
    </row>
    <row r="579" spans="1:9" ht="13.5" x14ac:dyDescent="0.25">
      <c r="A579" s="91" t="s">
        <v>767</v>
      </c>
      <c r="B579" s="92" t="s">
        <v>266</v>
      </c>
      <c r="C579" s="91" t="s">
        <v>767</v>
      </c>
      <c r="D579" s="91" t="s">
        <v>256</v>
      </c>
      <c r="E579" s="93">
        <v>37480</v>
      </c>
      <c r="F579" s="94">
        <f t="shared" ca="1" si="19"/>
        <v>14</v>
      </c>
      <c r="G579" s="95" t="s">
        <v>262</v>
      </c>
      <c r="H579" s="96">
        <v>62688</v>
      </c>
      <c r="I579" s="97">
        <v>3</v>
      </c>
    </row>
    <row r="580" spans="1:9" ht="13.5" x14ac:dyDescent="0.25">
      <c r="A580" s="91" t="s">
        <v>767</v>
      </c>
      <c r="B580" s="92" t="s">
        <v>271</v>
      </c>
      <c r="C580" s="91" t="s">
        <v>767</v>
      </c>
      <c r="D580" s="91" t="s">
        <v>256</v>
      </c>
      <c r="E580" s="93">
        <v>37737</v>
      </c>
      <c r="F580" s="94">
        <f t="shared" ca="1" si="19"/>
        <v>13</v>
      </c>
      <c r="G580" s="95" t="s">
        <v>283</v>
      </c>
      <c r="H580" s="96">
        <v>65880</v>
      </c>
      <c r="I580" s="97">
        <v>5</v>
      </c>
    </row>
    <row r="581" spans="1:9" ht="13.5" x14ac:dyDescent="0.25">
      <c r="A581" s="91" t="s">
        <v>767</v>
      </c>
      <c r="B581" s="92" t="s">
        <v>271</v>
      </c>
      <c r="C581" s="91" t="s">
        <v>767</v>
      </c>
      <c r="D581" s="91" t="s">
        <v>256</v>
      </c>
      <c r="E581" s="93">
        <v>37737</v>
      </c>
      <c r="F581" s="94">
        <f t="shared" ca="1" si="19"/>
        <v>13</v>
      </c>
      <c r="G581" s="95" t="s">
        <v>283</v>
      </c>
      <c r="H581" s="96">
        <v>65880</v>
      </c>
      <c r="I581" s="97">
        <v>5</v>
      </c>
    </row>
    <row r="582" spans="1:9" ht="13.5" x14ac:dyDescent="0.25">
      <c r="A582" s="91" t="s">
        <v>767</v>
      </c>
      <c r="B582" s="92" t="s">
        <v>266</v>
      </c>
      <c r="C582" s="91" t="s">
        <v>767</v>
      </c>
      <c r="D582" s="91" t="s">
        <v>256</v>
      </c>
      <c r="E582" s="93">
        <v>37907</v>
      </c>
      <c r="F582" s="94">
        <f t="shared" ca="1" si="19"/>
        <v>13</v>
      </c>
      <c r="G582" s="95" t="s">
        <v>257</v>
      </c>
      <c r="H582" s="96">
        <v>73830</v>
      </c>
      <c r="I582" s="97">
        <v>2</v>
      </c>
    </row>
    <row r="583" spans="1:9" ht="13.5" x14ac:dyDescent="0.25">
      <c r="A583" s="91" t="s">
        <v>767</v>
      </c>
      <c r="B583" s="92" t="s">
        <v>285</v>
      </c>
      <c r="C583" s="91" t="s">
        <v>767</v>
      </c>
      <c r="D583" s="91" t="s">
        <v>256</v>
      </c>
      <c r="E583" s="93">
        <v>38052</v>
      </c>
      <c r="F583" s="94">
        <f t="shared" ca="1" si="19"/>
        <v>12</v>
      </c>
      <c r="G583" s="95" t="s">
        <v>262</v>
      </c>
      <c r="H583" s="96">
        <v>42020</v>
      </c>
      <c r="I583" s="97">
        <v>5</v>
      </c>
    </row>
    <row r="584" spans="1:9" ht="13.5" x14ac:dyDescent="0.25">
      <c r="A584" s="91" t="s">
        <v>767</v>
      </c>
      <c r="B584" s="92" t="s">
        <v>285</v>
      </c>
      <c r="C584" s="91" t="s">
        <v>767</v>
      </c>
      <c r="D584" s="91" t="s">
        <v>256</v>
      </c>
      <c r="E584" s="93">
        <v>38136</v>
      </c>
      <c r="F584" s="94">
        <f t="shared" ca="1" si="19"/>
        <v>12</v>
      </c>
      <c r="G584" s="95" t="s">
        <v>257</v>
      </c>
      <c r="H584" s="96">
        <v>44650</v>
      </c>
      <c r="I584" s="97">
        <v>1</v>
      </c>
    </row>
    <row r="585" spans="1:9" ht="13.5" x14ac:dyDescent="0.25">
      <c r="A585" s="91" t="s">
        <v>767</v>
      </c>
      <c r="B585" s="92" t="s">
        <v>280</v>
      </c>
      <c r="C585" s="91" t="s">
        <v>767</v>
      </c>
      <c r="D585" s="91" t="s">
        <v>261</v>
      </c>
      <c r="E585" s="93">
        <v>38418</v>
      </c>
      <c r="F585" s="94">
        <f t="shared" ca="1" si="19"/>
        <v>11</v>
      </c>
      <c r="G585" s="95" t="s">
        <v>257</v>
      </c>
      <c r="H585" s="96">
        <v>45565</v>
      </c>
      <c r="I585" s="97">
        <v>1</v>
      </c>
    </row>
    <row r="586" spans="1:9" ht="13.5" x14ac:dyDescent="0.25">
      <c r="A586" s="91" t="s">
        <v>767</v>
      </c>
      <c r="B586" s="92" t="s">
        <v>285</v>
      </c>
      <c r="C586" s="91" t="s">
        <v>767</v>
      </c>
      <c r="D586" s="91" t="s">
        <v>256</v>
      </c>
      <c r="E586" s="93">
        <v>38554</v>
      </c>
      <c r="F586" s="94">
        <f t="shared" ca="1" si="19"/>
        <v>11</v>
      </c>
      <c r="G586" s="95" t="s">
        <v>257</v>
      </c>
      <c r="H586" s="96">
        <v>64320</v>
      </c>
      <c r="I586" s="97">
        <v>5</v>
      </c>
    </row>
    <row r="587" spans="1:9" ht="13.5" x14ac:dyDescent="0.25">
      <c r="A587" s="91" t="s">
        <v>767</v>
      </c>
      <c r="B587" s="92" t="s">
        <v>245</v>
      </c>
      <c r="C587" s="91" t="s">
        <v>767</v>
      </c>
      <c r="D587" s="91" t="s">
        <v>256</v>
      </c>
      <c r="E587" s="93">
        <v>38589</v>
      </c>
      <c r="F587" s="94">
        <f t="shared" ca="1" si="19"/>
        <v>11</v>
      </c>
      <c r="G587" s="95" t="s">
        <v>257</v>
      </c>
      <c r="H587" s="96">
        <v>24790</v>
      </c>
      <c r="I587" s="97">
        <v>3</v>
      </c>
    </row>
    <row r="588" spans="1:9" ht="13.5" x14ac:dyDescent="0.25">
      <c r="A588" s="91" t="s">
        <v>767</v>
      </c>
      <c r="B588" s="92" t="s">
        <v>271</v>
      </c>
      <c r="C588" s="91" t="s">
        <v>767</v>
      </c>
      <c r="D588" s="91" t="s">
        <v>256</v>
      </c>
      <c r="E588" s="93">
        <v>38827</v>
      </c>
      <c r="F588" s="94">
        <f t="shared" ca="1" si="19"/>
        <v>10</v>
      </c>
      <c r="G588" s="95" t="s">
        <v>257</v>
      </c>
      <c r="H588" s="96">
        <v>54190</v>
      </c>
      <c r="I588" s="97">
        <v>4</v>
      </c>
    </row>
    <row r="589" spans="1:9" ht="13.5" x14ac:dyDescent="0.25">
      <c r="A589" s="91" t="s">
        <v>767</v>
      </c>
      <c r="B589" s="92" t="s">
        <v>271</v>
      </c>
      <c r="C589" s="91" t="s">
        <v>767</v>
      </c>
      <c r="D589" s="91" t="s">
        <v>261</v>
      </c>
      <c r="E589" s="93">
        <v>38856</v>
      </c>
      <c r="F589" s="94">
        <f t="shared" ca="1" si="19"/>
        <v>10</v>
      </c>
      <c r="G589" s="95" t="s">
        <v>276</v>
      </c>
      <c r="H589" s="96">
        <v>25245</v>
      </c>
      <c r="I589" s="97">
        <v>5</v>
      </c>
    </row>
    <row r="590" spans="1:9" ht="13.5" x14ac:dyDescent="0.25">
      <c r="A590" s="91" t="s">
        <v>767</v>
      </c>
      <c r="B590" s="92" t="s">
        <v>251</v>
      </c>
      <c r="C590" s="91" t="s">
        <v>767</v>
      </c>
      <c r="D590" s="91" t="s">
        <v>261</v>
      </c>
      <c r="E590" s="99">
        <v>38944</v>
      </c>
      <c r="F590" s="94">
        <f t="shared" ca="1" si="19"/>
        <v>10</v>
      </c>
      <c r="G590" s="95" t="s">
        <v>283</v>
      </c>
      <c r="H590" s="96">
        <v>48700</v>
      </c>
      <c r="I590" s="97">
        <v>3</v>
      </c>
    </row>
    <row r="591" spans="1:9" ht="13.5" x14ac:dyDescent="0.25">
      <c r="A591" s="91" t="s">
        <v>767</v>
      </c>
      <c r="B591" s="92" t="s">
        <v>266</v>
      </c>
      <c r="C591" s="91" t="s">
        <v>767</v>
      </c>
      <c r="D591" s="91" t="s">
        <v>261</v>
      </c>
      <c r="E591" s="93">
        <v>38983</v>
      </c>
      <c r="F591" s="94">
        <f t="shared" ca="1" si="19"/>
        <v>10</v>
      </c>
      <c r="G591" s="95" t="s">
        <v>257</v>
      </c>
      <c r="H591" s="96">
        <v>11810</v>
      </c>
      <c r="I591" s="97">
        <v>1</v>
      </c>
    </row>
    <row r="592" spans="1:9" ht="13.5" x14ac:dyDescent="0.25">
      <c r="A592" s="91" t="s">
        <v>767</v>
      </c>
      <c r="B592" s="92" t="s">
        <v>271</v>
      </c>
      <c r="C592" s="91" t="s">
        <v>767</v>
      </c>
      <c r="D592" s="91" t="s">
        <v>247</v>
      </c>
      <c r="E592" s="99">
        <v>39094</v>
      </c>
      <c r="F592" s="94">
        <f t="shared" ca="1" si="19"/>
        <v>9</v>
      </c>
      <c r="G592" s="95"/>
      <c r="H592" s="96">
        <v>39550</v>
      </c>
      <c r="I592" s="97">
        <v>5</v>
      </c>
    </row>
    <row r="593" spans="1:9" ht="13.5" x14ac:dyDescent="0.25">
      <c r="A593" s="91" t="s">
        <v>767</v>
      </c>
      <c r="B593" s="92" t="s">
        <v>245</v>
      </c>
      <c r="C593" s="91" t="s">
        <v>767</v>
      </c>
      <c r="D593" s="91" t="s">
        <v>247</v>
      </c>
      <c r="E593" s="99">
        <v>39100</v>
      </c>
      <c r="F593" s="94">
        <f t="shared" ca="1" si="19"/>
        <v>9</v>
      </c>
      <c r="G593" s="95"/>
      <c r="H593" s="96">
        <v>57680</v>
      </c>
      <c r="I593" s="97">
        <v>4</v>
      </c>
    </row>
    <row r="594" spans="1:9" ht="13.5" x14ac:dyDescent="0.25">
      <c r="A594" s="91" t="s">
        <v>767</v>
      </c>
      <c r="B594" s="92" t="s">
        <v>245</v>
      </c>
      <c r="C594" s="91" t="s">
        <v>767</v>
      </c>
      <c r="D594" s="91" t="s">
        <v>261</v>
      </c>
      <c r="E594" s="99">
        <v>39111</v>
      </c>
      <c r="F594" s="94">
        <f t="shared" ca="1" si="19"/>
        <v>9</v>
      </c>
      <c r="G594" s="95" t="s">
        <v>262</v>
      </c>
      <c r="H594" s="96">
        <v>49355</v>
      </c>
      <c r="I594" s="97">
        <v>5</v>
      </c>
    </row>
    <row r="595" spans="1:9" ht="13.5" x14ac:dyDescent="0.25">
      <c r="A595" s="91" t="s">
        <v>767</v>
      </c>
      <c r="B595" s="92" t="s">
        <v>285</v>
      </c>
      <c r="C595" s="91" t="s">
        <v>767</v>
      </c>
      <c r="D595" s="91" t="s">
        <v>256</v>
      </c>
      <c r="E595" s="93">
        <v>39128</v>
      </c>
      <c r="F595" s="94">
        <f t="shared" ca="1" si="19"/>
        <v>9</v>
      </c>
      <c r="G595" s="95" t="s">
        <v>267</v>
      </c>
      <c r="H595" s="96">
        <v>59150</v>
      </c>
      <c r="I595" s="97">
        <v>4</v>
      </c>
    </row>
    <row r="596" spans="1:9" ht="13.5" x14ac:dyDescent="0.25">
      <c r="A596" s="91" t="s">
        <v>767</v>
      </c>
      <c r="B596" s="92" t="s">
        <v>285</v>
      </c>
      <c r="C596" s="91" t="s">
        <v>767</v>
      </c>
      <c r="D596" s="91" t="s">
        <v>256</v>
      </c>
      <c r="E596" s="93">
        <v>39167</v>
      </c>
      <c r="F596" s="94">
        <f t="shared" ca="1" si="19"/>
        <v>9</v>
      </c>
      <c r="G596" s="95" t="s">
        <v>267</v>
      </c>
      <c r="H596" s="96">
        <v>63206</v>
      </c>
      <c r="I596" s="97">
        <v>1</v>
      </c>
    </row>
    <row r="597" spans="1:9" ht="13.5" x14ac:dyDescent="0.25">
      <c r="A597" s="91" t="s">
        <v>767</v>
      </c>
      <c r="B597" s="92" t="s">
        <v>271</v>
      </c>
      <c r="C597" s="91" t="s">
        <v>767</v>
      </c>
      <c r="D597" s="91" t="s">
        <v>256</v>
      </c>
      <c r="E597" s="93">
        <v>39314</v>
      </c>
      <c r="F597" s="94">
        <f t="shared" ca="1" si="19"/>
        <v>9</v>
      </c>
      <c r="G597" s="95" t="s">
        <v>276</v>
      </c>
      <c r="H597" s="96">
        <v>86500</v>
      </c>
      <c r="I597" s="97">
        <v>1</v>
      </c>
    </row>
    <row r="598" spans="1:9" ht="13.5" x14ac:dyDescent="0.25">
      <c r="A598" s="98" t="s">
        <v>1054</v>
      </c>
      <c r="B598" s="92"/>
      <c r="C598" s="98"/>
      <c r="D598" s="91"/>
      <c r="E598" s="93"/>
      <c r="F598" s="94"/>
      <c r="G598" s="95"/>
      <c r="H598" s="96"/>
      <c r="I598" s="97"/>
    </row>
    <row r="599" spans="1:9" ht="13.5" x14ac:dyDescent="0.25">
      <c r="A599" s="91" t="s">
        <v>856</v>
      </c>
      <c r="B599" s="92" t="s">
        <v>285</v>
      </c>
      <c r="C599" s="91" t="s">
        <v>856</v>
      </c>
      <c r="D599" s="91" t="s">
        <v>256</v>
      </c>
      <c r="E599" s="93">
        <v>31912</v>
      </c>
      <c r="F599" s="94">
        <f t="shared" ref="F599:F662" ca="1" si="20">DATEDIF(E599,TODAY(),"Y")</f>
        <v>29</v>
      </c>
      <c r="G599" s="95" t="s">
        <v>257</v>
      </c>
      <c r="H599" s="96">
        <v>53900</v>
      </c>
      <c r="I599" s="97">
        <v>5</v>
      </c>
    </row>
    <row r="600" spans="1:9" ht="13.5" x14ac:dyDescent="0.25">
      <c r="A600" s="91" t="s">
        <v>856</v>
      </c>
      <c r="B600" s="92" t="s">
        <v>245</v>
      </c>
      <c r="C600" s="91" t="s">
        <v>856</v>
      </c>
      <c r="D600" s="91" t="s">
        <v>252</v>
      </c>
      <c r="E600" s="93">
        <v>31946</v>
      </c>
      <c r="F600" s="94">
        <f t="shared" ca="1" si="20"/>
        <v>29</v>
      </c>
      <c r="G600" s="95"/>
      <c r="H600" s="96">
        <v>30468</v>
      </c>
      <c r="I600" s="97">
        <v>2</v>
      </c>
    </row>
    <row r="601" spans="1:9" ht="13.5" x14ac:dyDescent="0.25">
      <c r="A601" s="91" t="s">
        <v>856</v>
      </c>
      <c r="B601" s="92" t="s">
        <v>285</v>
      </c>
      <c r="C601" s="91" t="s">
        <v>856</v>
      </c>
      <c r="D601" s="91" t="s">
        <v>256</v>
      </c>
      <c r="E601" s="93">
        <v>31959</v>
      </c>
      <c r="F601" s="94">
        <f t="shared" ca="1" si="20"/>
        <v>29</v>
      </c>
      <c r="G601" s="95" t="s">
        <v>283</v>
      </c>
      <c r="H601" s="96">
        <v>24840</v>
      </c>
      <c r="I601" s="97">
        <v>1</v>
      </c>
    </row>
    <row r="602" spans="1:9" ht="13.5" x14ac:dyDescent="0.25">
      <c r="A602" s="91" t="s">
        <v>856</v>
      </c>
      <c r="B602" s="92" t="s">
        <v>251</v>
      </c>
      <c r="C602" s="91" t="s">
        <v>856</v>
      </c>
      <c r="D602" s="91" t="s">
        <v>247</v>
      </c>
      <c r="E602" s="93">
        <v>31972</v>
      </c>
      <c r="F602" s="94">
        <f t="shared" ca="1" si="20"/>
        <v>29</v>
      </c>
      <c r="G602" s="95"/>
      <c r="H602" s="96">
        <v>89450</v>
      </c>
      <c r="I602" s="97">
        <v>2</v>
      </c>
    </row>
    <row r="603" spans="1:9" ht="13.5" x14ac:dyDescent="0.25">
      <c r="A603" s="91" t="s">
        <v>856</v>
      </c>
      <c r="B603" s="92" t="s">
        <v>271</v>
      </c>
      <c r="C603" s="91" t="s">
        <v>856</v>
      </c>
      <c r="D603" s="91" t="s">
        <v>247</v>
      </c>
      <c r="E603" s="93">
        <v>32111</v>
      </c>
      <c r="F603" s="94">
        <f t="shared" ca="1" si="20"/>
        <v>28</v>
      </c>
      <c r="G603" s="95"/>
      <c r="H603" s="96">
        <v>46650</v>
      </c>
      <c r="I603" s="97">
        <v>2</v>
      </c>
    </row>
    <row r="604" spans="1:9" ht="13.5" x14ac:dyDescent="0.25">
      <c r="A604" s="91" t="s">
        <v>856</v>
      </c>
      <c r="B604" s="92" t="s">
        <v>251</v>
      </c>
      <c r="C604" s="91" t="s">
        <v>856</v>
      </c>
      <c r="D604" s="91" t="s">
        <v>256</v>
      </c>
      <c r="E604" s="93">
        <v>32144</v>
      </c>
      <c r="F604" s="94">
        <f t="shared" ca="1" si="20"/>
        <v>28</v>
      </c>
      <c r="G604" s="95" t="s">
        <v>257</v>
      </c>
      <c r="H604" s="96">
        <v>67920</v>
      </c>
      <c r="I604" s="97">
        <v>4</v>
      </c>
    </row>
    <row r="605" spans="1:9" ht="13.5" x14ac:dyDescent="0.25">
      <c r="A605" s="91" t="s">
        <v>856</v>
      </c>
      <c r="B605" s="92" t="s">
        <v>266</v>
      </c>
      <c r="C605" s="91" t="s">
        <v>856</v>
      </c>
      <c r="D605" s="91" t="s">
        <v>256</v>
      </c>
      <c r="E605" s="93">
        <v>32238</v>
      </c>
      <c r="F605" s="94">
        <f t="shared" ca="1" si="20"/>
        <v>28</v>
      </c>
      <c r="G605" s="95" t="s">
        <v>283</v>
      </c>
      <c r="H605" s="96">
        <v>63050</v>
      </c>
      <c r="I605" s="97">
        <v>3</v>
      </c>
    </row>
    <row r="606" spans="1:9" ht="13.5" x14ac:dyDescent="0.25">
      <c r="A606" s="91" t="s">
        <v>856</v>
      </c>
      <c r="B606" s="92" t="s">
        <v>285</v>
      </c>
      <c r="C606" s="91" t="s">
        <v>856</v>
      </c>
      <c r="D606" s="91" t="s">
        <v>256</v>
      </c>
      <c r="E606" s="93">
        <v>32294</v>
      </c>
      <c r="F606" s="94">
        <f t="shared" ca="1" si="20"/>
        <v>28</v>
      </c>
      <c r="G606" s="95" t="s">
        <v>257</v>
      </c>
      <c r="H606" s="96">
        <v>54830</v>
      </c>
      <c r="I606" s="97">
        <v>1</v>
      </c>
    </row>
    <row r="607" spans="1:9" ht="13.5" x14ac:dyDescent="0.25">
      <c r="A607" s="91" t="s">
        <v>856</v>
      </c>
      <c r="B607" s="92" t="s">
        <v>285</v>
      </c>
      <c r="C607" s="91" t="s">
        <v>856</v>
      </c>
      <c r="D607" s="91" t="s">
        <v>256</v>
      </c>
      <c r="E607" s="93">
        <v>32375</v>
      </c>
      <c r="F607" s="94">
        <f t="shared" ca="1" si="20"/>
        <v>28</v>
      </c>
      <c r="G607" s="95" t="s">
        <v>257</v>
      </c>
      <c r="H607" s="96">
        <v>65571</v>
      </c>
      <c r="I607" s="97">
        <v>3</v>
      </c>
    </row>
    <row r="608" spans="1:9" ht="13.5" x14ac:dyDescent="0.25">
      <c r="A608" s="91" t="s">
        <v>856</v>
      </c>
      <c r="B608" s="92" t="s">
        <v>285</v>
      </c>
      <c r="C608" s="91" t="s">
        <v>856</v>
      </c>
      <c r="D608" s="91" t="s">
        <v>256</v>
      </c>
      <c r="E608" s="93">
        <v>32401</v>
      </c>
      <c r="F608" s="94">
        <f t="shared" ca="1" si="20"/>
        <v>28</v>
      </c>
      <c r="G608" s="95" t="s">
        <v>257</v>
      </c>
      <c r="H608" s="96">
        <v>68470</v>
      </c>
      <c r="I608" s="97">
        <v>4</v>
      </c>
    </row>
    <row r="609" spans="1:9" ht="13.5" x14ac:dyDescent="0.25">
      <c r="A609" s="91" t="s">
        <v>856</v>
      </c>
      <c r="B609" s="92" t="s">
        <v>271</v>
      </c>
      <c r="C609" s="91" t="s">
        <v>856</v>
      </c>
      <c r="D609" s="91" t="s">
        <v>256</v>
      </c>
      <c r="E609" s="93">
        <v>32542</v>
      </c>
      <c r="F609" s="94">
        <f t="shared" ca="1" si="20"/>
        <v>27</v>
      </c>
      <c r="G609" s="95" t="s">
        <v>276</v>
      </c>
      <c r="H609" s="96">
        <v>86240</v>
      </c>
      <c r="I609" s="97">
        <v>1</v>
      </c>
    </row>
    <row r="610" spans="1:9" ht="13.5" x14ac:dyDescent="0.25">
      <c r="A610" s="91" t="s">
        <v>856</v>
      </c>
      <c r="B610" s="92" t="s">
        <v>266</v>
      </c>
      <c r="C610" s="91" t="s">
        <v>856</v>
      </c>
      <c r="D610" s="91" t="s">
        <v>261</v>
      </c>
      <c r="E610" s="93">
        <v>32580</v>
      </c>
      <c r="F610" s="94">
        <f t="shared" ca="1" si="20"/>
        <v>27</v>
      </c>
      <c r="G610" s="95" t="s">
        <v>283</v>
      </c>
      <c r="H610" s="96">
        <v>25885</v>
      </c>
      <c r="I610" s="97">
        <v>5</v>
      </c>
    </row>
    <row r="611" spans="1:9" ht="13.5" x14ac:dyDescent="0.25">
      <c r="A611" s="91" t="s">
        <v>856</v>
      </c>
      <c r="B611" s="92" t="s">
        <v>285</v>
      </c>
      <c r="C611" s="91" t="s">
        <v>856</v>
      </c>
      <c r="D611" s="91" t="s">
        <v>247</v>
      </c>
      <c r="E611" s="93">
        <v>32604</v>
      </c>
      <c r="F611" s="94">
        <f t="shared" ca="1" si="20"/>
        <v>27</v>
      </c>
      <c r="G611" s="95"/>
      <c r="H611" s="96">
        <v>55690</v>
      </c>
      <c r="I611" s="97">
        <v>2</v>
      </c>
    </row>
    <row r="612" spans="1:9" ht="13.5" x14ac:dyDescent="0.25">
      <c r="A612" s="91" t="s">
        <v>856</v>
      </c>
      <c r="B612" s="92" t="s">
        <v>245</v>
      </c>
      <c r="C612" s="91" t="s">
        <v>856</v>
      </c>
      <c r="D612" s="91" t="s">
        <v>256</v>
      </c>
      <c r="E612" s="93">
        <v>32700</v>
      </c>
      <c r="F612" s="94">
        <f t="shared" ca="1" si="20"/>
        <v>27</v>
      </c>
      <c r="G612" s="95" t="s">
        <v>257</v>
      </c>
      <c r="H612" s="96">
        <v>54270</v>
      </c>
      <c r="I612" s="97">
        <v>3</v>
      </c>
    </row>
    <row r="613" spans="1:9" ht="13.5" x14ac:dyDescent="0.25">
      <c r="A613" s="91" t="s">
        <v>856</v>
      </c>
      <c r="B613" s="92" t="s">
        <v>251</v>
      </c>
      <c r="C613" s="91" t="s">
        <v>856</v>
      </c>
      <c r="D613" s="91" t="s">
        <v>256</v>
      </c>
      <c r="E613" s="93">
        <v>32711</v>
      </c>
      <c r="F613" s="94">
        <f t="shared" ca="1" si="20"/>
        <v>27</v>
      </c>
      <c r="G613" s="95" t="s">
        <v>283</v>
      </c>
      <c r="H613" s="96">
        <v>45110</v>
      </c>
      <c r="I613" s="97">
        <v>2</v>
      </c>
    </row>
    <row r="614" spans="1:9" ht="13.5" x14ac:dyDescent="0.25">
      <c r="A614" s="91" t="s">
        <v>856</v>
      </c>
      <c r="B614" s="92" t="s">
        <v>271</v>
      </c>
      <c r="C614" s="91" t="s">
        <v>856</v>
      </c>
      <c r="D614" s="91" t="s">
        <v>256</v>
      </c>
      <c r="E614" s="93">
        <v>32718</v>
      </c>
      <c r="F614" s="94">
        <f t="shared" ca="1" si="20"/>
        <v>27</v>
      </c>
      <c r="G614" s="95" t="s">
        <v>283</v>
      </c>
      <c r="H614" s="96">
        <v>66824</v>
      </c>
      <c r="I614" s="97">
        <v>2</v>
      </c>
    </row>
    <row r="615" spans="1:9" ht="13.5" x14ac:dyDescent="0.25">
      <c r="A615" s="91" t="s">
        <v>856</v>
      </c>
      <c r="B615" s="92" t="s">
        <v>285</v>
      </c>
      <c r="C615" s="91" t="s">
        <v>856</v>
      </c>
      <c r="D615" s="91" t="s">
        <v>256</v>
      </c>
      <c r="E615" s="93">
        <v>32850</v>
      </c>
      <c r="F615" s="94">
        <f t="shared" ca="1" si="20"/>
        <v>26</v>
      </c>
      <c r="G615" s="95" t="s">
        <v>257</v>
      </c>
      <c r="H615" s="96">
        <v>54200</v>
      </c>
      <c r="I615" s="97">
        <v>4</v>
      </c>
    </row>
    <row r="616" spans="1:9" ht="13.5" x14ac:dyDescent="0.25">
      <c r="A616" s="91" t="s">
        <v>856</v>
      </c>
      <c r="B616" s="92" t="s">
        <v>271</v>
      </c>
      <c r="C616" s="91" t="s">
        <v>856</v>
      </c>
      <c r="D616" s="91" t="s">
        <v>252</v>
      </c>
      <c r="E616" s="93">
        <v>32870</v>
      </c>
      <c r="F616" s="94">
        <f t="shared" ca="1" si="20"/>
        <v>26</v>
      </c>
      <c r="G616" s="95"/>
      <c r="H616" s="96">
        <v>26484</v>
      </c>
      <c r="I616" s="97">
        <v>5</v>
      </c>
    </row>
    <row r="617" spans="1:9" ht="13.5" x14ac:dyDescent="0.25">
      <c r="A617" s="91" t="s">
        <v>856</v>
      </c>
      <c r="B617" s="92" t="s">
        <v>271</v>
      </c>
      <c r="C617" s="91" t="s">
        <v>856</v>
      </c>
      <c r="D617" s="91" t="s">
        <v>256</v>
      </c>
      <c r="E617" s="93">
        <v>32975</v>
      </c>
      <c r="F617" s="94">
        <f t="shared" ca="1" si="20"/>
        <v>26</v>
      </c>
      <c r="G617" s="95" t="s">
        <v>267</v>
      </c>
      <c r="H617" s="96">
        <v>48490</v>
      </c>
      <c r="I617" s="97">
        <v>2</v>
      </c>
    </row>
    <row r="618" spans="1:9" ht="13.5" x14ac:dyDescent="0.25">
      <c r="A618" s="91" t="s">
        <v>856</v>
      </c>
      <c r="B618" s="92" t="s">
        <v>271</v>
      </c>
      <c r="C618" s="91" t="s">
        <v>856</v>
      </c>
      <c r="D618" s="91" t="s">
        <v>252</v>
      </c>
      <c r="E618" s="93">
        <v>33035</v>
      </c>
      <c r="F618" s="94">
        <f t="shared" ca="1" si="20"/>
        <v>26</v>
      </c>
      <c r="G618" s="95"/>
      <c r="H618" s="96">
        <v>36788</v>
      </c>
      <c r="I618" s="97">
        <v>4</v>
      </c>
    </row>
    <row r="619" spans="1:9" ht="13.5" x14ac:dyDescent="0.25">
      <c r="A619" s="91" t="s">
        <v>856</v>
      </c>
      <c r="B619" s="92" t="s">
        <v>271</v>
      </c>
      <c r="C619" s="91" t="s">
        <v>856</v>
      </c>
      <c r="D619" s="91" t="s">
        <v>256</v>
      </c>
      <c r="E619" s="93">
        <v>33444</v>
      </c>
      <c r="F619" s="94">
        <f t="shared" ca="1" si="20"/>
        <v>25</v>
      </c>
      <c r="G619" s="95" t="s">
        <v>257</v>
      </c>
      <c r="H619" s="96">
        <v>39000</v>
      </c>
      <c r="I619" s="97">
        <v>5</v>
      </c>
    </row>
    <row r="620" spans="1:9" ht="13.5" x14ac:dyDescent="0.25">
      <c r="A620" s="91" t="s">
        <v>856</v>
      </c>
      <c r="B620" s="92" t="s">
        <v>285</v>
      </c>
      <c r="C620" s="91" t="s">
        <v>856</v>
      </c>
      <c r="D620" s="91" t="s">
        <v>256</v>
      </c>
      <c r="E620" s="93">
        <v>33490</v>
      </c>
      <c r="F620" s="94">
        <f t="shared" ca="1" si="20"/>
        <v>25</v>
      </c>
      <c r="G620" s="95" t="s">
        <v>262</v>
      </c>
      <c r="H620" s="96">
        <v>82700</v>
      </c>
      <c r="I620" s="97">
        <v>3</v>
      </c>
    </row>
    <row r="621" spans="1:9" ht="13.5" x14ac:dyDescent="0.25">
      <c r="A621" s="91" t="s">
        <v>856</v>
      </c>
      <c r="B621" s="92" t="s">
        <v>266</v>
      </c>
      <c r="C621" s="91" t="s">
        <v>856</v>
      </c>
      <c r="D621" s="91" t="s">
        <v>252</v>
      </c>
      <c r="E621" s="93">
        <v>33724</v>
      </c>
      <c r="F621" s="94">
        <f t="shared" ca="1" si="20"/>
        <v>24</v>
      </c>
      <c r="G621" s="95"/>
      <c r="H621" s="96">
        <v>23692</v>
      </c>
      <c r="I621" s="97">
        <v>4</v>
      </c>
    </row>
    <row r="622" spans="1:9" ht="13.5" x14ac:dyDescent="0.25">
      <c r="A622" s="91" t="s">
        <v>856</v>
      </c>
      <c r="B622" s="92" t="s">
        <v>271</v>
      </c>
      <c r="C622" s="91" t="s">
        <v>856</v>
      </c>
      <c r="D622" s="91" t="s">
        <v>256</v>
      </c>
      <c r="E622" s="93">
        <v>34046</v>
      </c>
      <c r="F622" s="94">
        <f t="shared" ca="1" si="20"/>
        <v>23</v>
      </c>
      <c r="G622" s="95" t="s">
        <v>262</v>
      </c>
      <c r="H622" s="96">
        <v>63030</v>
      </c>
      <c r="I622" s="97">
        <v>1</v>
      </c>
    </row>
    <row r="623" spans="1:9" ht="13.5" x14ac:dyDescent="0.25">
      <c r="A623" s="91" t="s">
        <v>856</v>
      </c>
      <c r="B623" s="92" t="s">
        <v>271</v>
      </c>
      <c r="C623" s="91" t="s">
        <v>856</v>
      </c>
      <c r="D623" s="91" t="s">
        <v>256</v>
      </c>
      <c r="E623" s="93">
        <v>34063</v>
      </c>
      <c r="F623" s="94">
        <f t="shared" ca="1" si="20"/>
        <v>23</v>
      </c>
      <c r="G623" s="95" t="s">
        <v>283</v>
      </c>
      <c r="H623" s="96">
        <v>66440</v>
      </c>
      <c r="I623" s="97">
        <v>3</v>
      </c>
    </row>
    <row r="624" spans="1:9" ht="13.5" x14ac:dyDescent="0.25">
      <c r="A624" s="91" t="s">
        <v>856</v>
      </c>
      <c r="B624" s="92" t="s">
        <v>271</v>
      </c>
      <c r="C624" s="91" t="s">
        <v>856</v>
      </c>
      <c r="D624" s="91" t="s">
        <v>252</v>
      </c>
      <c r="E624" s="93">
        <v>34092</v>
      </c>
      <c r="F624" s="94">
        <f t="shared" ca="1" si="20"/>
        <v>23</v>
      </c>
      <c r="G624" s="95"/>
      <c r="H624" s="96">
        <v>33508</v>
      </c>
      <c r="I624" s="97">
        <v>4</v>
      </c>
    </row>
    <row r="625" spans="1:9" ht="13.5" x14ac:dyDescent="0.25">
      <c r="A625" s="91" t="s">
        <v>856</v>
      </c>
      <c r="B625" s="92" t="s">
        <v>285</v>
      </c>
      <c r="C625" s="91" t="s">
        <v>856</v>
      </c>
      <c r="D625" s="91" t="s">
        <v>256</v>
      </c>
      <c r="E625" s="93">
        <v>34098</v>
      </c>
      <c r="F625" s="94">
        <f t="shared" ca="1" si="20"/>
        <v>23</v>
      </c>
      <c r="G625" s="95" t="s">
        <v>283</v>
      </c>
      <c r="H625" s="96">
        <v>34330</v>
      </c>
      <c r="I625" s="97">
        <v>3</v>
      </c>
    </row>
    <row r="626" spans="1:9" ht="13.5" x14ac:dyDescent="0.25">
      <c r="A626" s="91" t="s">
        <v>856</v>
      </c>
      <c r="B626" s="92" t="s">
        <v>285</v>
      </c>
      <c r="C626" s="91" t="s">
        <v>856</v>
      </c>
      <c r="D626" s="91" t="s">
        <v>256</v>
      </c>
      <c r="E626" s="93">
        <v>34098</v>
      </c>
      <c r="F626" s="94">
        <f t="shared" ca="1" si="20"/>
        <v>23</v>
      </c>
      <c r="G626" s="95" t="s">
        <v>283</v>
      </c>
      <c r="H626" s="96">
        <v>34330</v>
      </c>
      <c r="I626" s="97">
        <v>3</v>
      </c>
    </row>
    <row r="627" spans="1:9" ht="13.5" x14ac:dyDescent="0.25">
      <c r="A627" s="91" t="s">
        <v>856</v>
      </c>
      <c r="B627" s="92" t="s">
        <v>245</v>
      </c>
      <c r="C627" s="91" t="s">
        <v>856</v>
      </c>
      <c r="D627" s="91" t="s">
        <v>256</v>
      </c>
      <c r="E627" s="93">
        <v>34141</v>
      </c>
      <c r="F627" s="94">
        <f t="shared" ca="1" si="20"/>
        <v>23</v>
      </c>
      <c r="G627" s="95" t="s">
        <v>276</v>
      </c>
      <c r="H627" s="96">
        <v>62965</v>
      </c>
      <c r="I627" s="97">
        <v>1</v>
      </c>
    </row>
    <row r="628" spans="1:9" ht="13.5" x14ac:dyDescent="0.25">
      <c r="A628" s="91" t="s">
        <v>856</v>
      </c>
      <c r="B628" s="92" t="s">
        <v>285</v>
      </c>
      <c r="C628" s="91" t="s">
        <v>856</v>
      </c>
      <c r="D628" s="91" t="s">
        <v>256</v>
      </c>
      <c r="E628" s="93">
        <v>34187</v>
      </c>
      <c r="F628" s="94">
        <f t="shared" ca="1" si="20"/>
        <v>23</v>
      </c>
      <c r="G628" s="95" t="s">
        <v>257</v>
      </c>
      <c r="H628" s="96">
        <v>78710</v>
      </c>
      <c r="I628" s="97">
        <v>4</v>
      </c>
    </row>
    <row r="629" spans="1:9" ht="13.5" x14ac:dyDescent="0.25">
      <c r="A629" s="91" t="s">
        <v>856</v>
      </c>
      <c r="B629" s="92" t="s">
        <v>285</v>
      </c>
      <c r="C629" s="91" t="s">
        <v>856</v>
      </c>
      <c r="D629" s="91" t="s">
        <v>256</v>
      </c>
      <c r="E629" s="93">
        <v>34259</v>
      </c>
      <c r="F629" s="94">
        <f t="shared" ca="1" si="20"/>
        <v>23</v>
      </c>
      <c r="G629" s="95" t="s">
        <v>283</v>
      </c>
      <c r="H629" s="96">
        <v>37770</v>
      </c>
      <c r="I629" s="97">
        <v>5</v>
      </c>
    </row>
    <row r="630" spans="1:9" ht="13.5" x14ac:dyDescent="0.25">
      <c r="A630" s="91" t="s">
        <v>856</v>
      </c>
      <c r="B630" s="92" t="s">
        <v>271</v>
      </c>
      <c r="C630" s="91" t="s">
        <v>856</v>
      </c>
      <c r="D630" s="91" t="s">
        <v>261</v>
      </c>
      <c r="E630" s="93">
        <v>34378</v>
      </c>
      <c r="F630" s="94">
        <f t="shared" ca="1" si="20"/>
        <v>22</v>
      </c>
      <c r="G630" s="95" t="s">
        <v>283</v>
      </c>
      <c r="H630" s="96">
        <v>42740</v>
      </c>
      <c r="I630" s="97">
        <v>2</v>
      </c>
    </row>
    <row r="631" spans="1:9" ht="13.5" x14ac:dyDescent="0.25">
      <c r="A631" s="91" t="s">
        <v>856</v>
      </c>
      <c r="B631" s="92" t="s">
        <v>280</v>
      </c>
      <c r="C631" s="91" t="s">
        <v>856</v>
      </c>
      <c r="D631" s="91" t="s">
        <v>256</v>
      </c>
      <c r="E631" s="93">
        <v>34405</v>
      </c>
      <c r="F631" s="94">
        <f t="shared" ca="1" si="20"/>
        <v>22</v>
      </c>
      <c r="G631" s="95" t="s">
        <v>283</v>
      </c>
      <c r="H631" s="96">
        <v>32120</v>
      </c>
      <c r="I631" s="97">
        <v>1</v>
      </c>
    </row>
    <row r="632" spans="1:9" ht="13.5" x14ac:dyDescent="0.25">
      <c r="A632" s="91" t="s">
        <v>856</v>
      </c>
      <c r="B632" s="92" t="s">
        <v>271</v>
      </c>
      <c r="C632" s="91" t="s">
        <v>856</v>
      </c>
      <c r="D632" s="91" t="s">
        <v>247</v>
      </c>
      <c r="E632" s="93">
        <v>34496</v>
      </c>
      <c r="F632" s="94">
        <f t="shared" ca="1" si="20"/>
        <v>22</v>
      </c>
      <c r="G632" s="95"/>
      <c r="H632" s="96">
        <v>86100</v>
      </c>
      <c r="I632" s="97">
        <v>4</v>
      </c>
    </row>
    <row r="633" spans="1:9" ht="13.5" x14ac:dyDescent="0.25">
      <c r="A633" s="91" t="s">
        <v>856</v>
      </c>
      <c r="B633" s="92" t="s">
        <v>280</v>
      </c>
      <c r="C633" s="91" t="s">
        <v>856</v>
      </c>
      <c r="D633" s="91" t="s">
        <v>261</v>
      </c>
      <c r="E633" s="93">
        <v>34532</v>
      </c>
      <c r="F633" s="94">
        <f t="shared" ca="1" si="20"/>
        <v>22</v>
      </c>
      <c r="G633" s="95" t="s">
        <v>267</v>
      </c>
      <c r="H633" s="96">
        <v>39530</v>
      </c>
      <c r="I633" s="97">
        <v>5</v>
      </c>
    </row>
    <row r="634" spans="1:9" ht="13.5" x14ac:dyDescent="0.25">
      <c r="A634" s="91" t="s">
        <v>856</v>
      </c>
      <c r="B634" s="92" t="s">
        <v>271</v>
      </c>
      <c r="C634" s="91" t="s">
        <v>856</v>
      </c>
      <c r="D634" s="91" t="s">
        <v>252</v>
      </c>
      <c r="E634" s="93">
        <v>34551</v>
      </c>
      <c r="F634" s="94">
        <f t="shared" ca="1" si="20"/>
        <v>22</v>
      </c>
      <c r="G634" s="95"/>
      <c r="H634" s="96">
        <v>12836</v>
      </c>
      <c r="I634" s="97">
        <v>5</v>
      </c>
    </row>
    <row r="635" spans="1:9" ht="13.5" x14ac:dyDescent="0.25">
      <c r="A635" s="91" t="s">
        <v>856</v>
      </c>
      <c r="B635" s="92" t="s">
        <v>245</v>
      </c>
      <c r="C635" s="91" t="s">
        <v>856</v>
      </c>
      <c r="D635" s="91" t="s">
        <v>252</v>
      </c>
      <c r="E635" s="93">
        <v>34559</v>
      </c>
      <c r="F635" s="94">
        <f t="shared" ca="1" si="20"/>
        <v>22</v>
      </c>
      <c r="G635" s="95"/>
      <c r="H635" s="96">
        <v>17912</v>
      </c>
      <c r="I635" s="97">
        <v>5</v>
      </c>
    </row>
    <row r="636" spans="1:9" ht="13.5" x14ac:dyDescent="0.25">
      <c r="A636" s="91" t="s">
        <v>856</v>
      </c>
      <c r="B636" s="92" t="s">
        <v>285</v>
      </c>
      <c r="C636" s="91" t="s">
        <v>856</v>
      </c>
      <c r="D636" s="91" t="s">
        <v>256</v>
      </c>
      <c r="E636" s="93">
        <v>34586</v>
      </c>
      <c r="F636" s="94">
        <f t="shared" ca="1" si="20"/>
        <v>22</v>
      </c>
      <c r="G636" s="95" t="s">
        <v>283</v>
      </c>
      <c r="H636" s="96">
        <v>70280</v>
      </c>
      <c r="I636" s="97">
        <v>3</v>
      </c>
    </row>
    <row r="637" spans="1:9" ht="13.5" x14ac:dyDescent="0.25">
      <c r="A637" s="91" t="s">
        <v>856</v>
      </c>
      <c r="B637" s="92" t="s">
        <v>271</v>
      </c>
      <c r="C637" s="91" t="s">
        <v>856</v>
      </c>
      <c r="D637" s="91" t="s">
        <v>256</v>
      </c>
      <c r="E637" s="93">
        <v>34702</v>
      </c>
      <c r="F637" s="94">
        <f t="shared" ca="1" si="20"/>
        <v>21</v>
      </c>
      <c r="G637" s="95" t="s">
        <v>262</v>
      </c>
      <c r="H637" s="96">
        <v>78950</v>
      </c>
      <c r="I637" s="97">
        <v>1</v>
      </c>
    </row>
    <row r="638" spans="1:9" ht="13.5" x14ac:dyDescent="0.25">
      <c r="A638" s="91" t="s">
        <v>856</v>
      </c>
      <c r="B638" s="92" t="s">
        <v>245</v>
      </c>
      <c r="C638" s="91" t="s">
        <v>856</v>
      </c>
      <c r="D638" s="91" t="s">
        <v>247</v>
      </c>
      <c r="E638" s="93">
        <v>34760</v>
      </c>
      <c r="F638" s="94">
        <f t="shared" ca="1" si="20"/>
        <v>21</v>
      </c>
      <c r="G638" s="95"/>
      <c r="H638" s="96">
        <v>59050</v>
      </c>
      <c r="I638" s="97">
        <v>4</v>
      </c>
    </row>
    <row r="639" spans="1:9" ht="13.5" x14ac:dyDescent="0.25">
      <c r="A639" s="91" t="s">
        <v>856</v>
      </c>
      <c r="B639" s="92" t="s">
        <v>271</v>
      </c>
      <c r="C639" s="91" t="s">
        <v>856</v>
      </c>
      <c r="D639" s="91" t="s">
        <v>256</v>
      </c>
      <c r="E639" s="93">
        <v>34768</v>
      </c>
      <c r="F639" s="94">
        <f t="shared" ca="1" si="20"/>
        <v>21</v>
      </c>
      <c r="G639" s="95" t="s">
        <v>276</v>
      </c>
      <c r="H639" s="96">
        <v>79610</v>
      </c>
      <c r="I639" s="97">
        <v>2</v>
      </c>
    </row>
    <row r="640" spans="1:9" ht="13.5" x14ac:dyDescent="0.25">
      <c r="A640" s="91" t="s">
        <v>856</v>
      </c>
      <c r="B640" s="92" t="s">
        <v>245</v>
      </c>
      <c r="C640" s="91" t="s">
        <v>856</v>
      </c>
      <c r="D640" s="91" t="s">
        <v>256</v>
      </c>
      <c r="E640" s="93">
        <v>34771</v>
      </c>
      <c r="F640" s="94">
        <f t="shared" ca="1" si="20"/>
        <v>21</v>
      </c>
      <c r="G640" s="95" t="s">
        <v>283</v>
      </c>
      <c r="H640" s="96">
        <v>67407</v>
      </c>
      <c r="I640" s="97">
        <v>5</v>
      </c>
    </row>
    <row r="641" spans="1:9" ht="13.5" x14ac:dyDescent="0.25">
      <c r="A641" s="91" t="s">
        <v>856</v>
      </c>
      <c r="B641" s="92" t="s">
        <v>271</v>
      </c>
      <c r="C641" s="91" t="s">
        <v>856</v>
      </c>
      <c r="D641" s="91" t="s">
        <v>261</v>
      </c>
      <c r="E641" s="93">
        <v>34886</v>
      </c>
      <c r="F641" s="94">
        <f t="shared" ca="1" si="20"/>
        <v>21</v>
      </c>
      <c r="G641" s="95" t="s">
        <v>257</v>
      </c>
      <c r="H641" s="96">
        <v>34980</v>
      </c>
      <c r="I641" s="97">
        <v>2</v>
      </c>
    </row>
    <row r="642" spans="1:9" ht="13.5" x14ac:dyDescent="0.25">
      <c r="A642" s="91" t="s">
        <v>856</v>
      </c>
      <c r="B642" s="92" t="s">
        <v>285</v>
      </c>
      <c r="C642" s="91" t="s">
        <v>856</v>
      </c>
      <c r="D642" s="91" t="s">
        <v>247</v>
      </c>
      <c r="E642" s="93">
        <v>34904</v>
      </c>
      <c r="F642" s="94">
        <f t="shared" ca="1" si="20"/>
        <v>21</v>
      </c>
      <c r="G642" s="95"/>
      <c r="H642" s="96">
        <v>53310</v>
      </c>
      <c r="I642" s="97">
        <v>5</v>
      </c>
    </row>
    <row r="643" spans="1:9" ht="13.5" x14ac:dyDescent="0.25">
      <c r="A643" s="91" t="s">
        <v>856</v>
      </c>
      <c r="B643" s="92" t="s">
        <v>285</v>
      </c>
      <c r="C643" s="91" t="s">
        <v>856</v>
      </c>
      <c r="D643" s="91" t="s">
        <v>256</v>
      </c>
      <c r="E643" s="93">
        <v>34935</v>
      </c>
      <c r="F643" s="94">
        <f t="shared" ca="1" si="20"/>
        <v>21</v>
      </c>
      <c r="G643" s="95" t="s">
        <v>257</v>
      </c>
      <c r="H643" s="96">
        <v>58410</v>
      </c>
      <c r="I643" s="97">
        <v>5</v>
      </c>
    </row>
    <row r="644" spans="1:9" ht="13.5" x14ac:dyDescent="0.25">
      <c r="A644" s="91" t="s">
        <v>856</v>
      </c>
      <c r="B644" s="92" t="s">
        <v>245</v>
      </c>
      <c r="C644" s="91" t="s">
        <v>856</v>
      </c>
      <c r="D644" s="91" t="s">
        <v>256</v>
      </c>
      <c r="E644" s="93">
        <v>34980</v>
      </c>
      <c r="F644" s="94">
        <f t="shared" ca="1" si="20"/>
        <v>21</v>
      </c>
      <c r="G644" s="95" t="s">
        <v>283</v>
      </c>
      <c r="H644" s="96">
        <v>39000</v>
      </c>
      <c r="I644" s="97">
        <v>3</v>
      </c>
    </row>
    <row r="645" spans="1:9" ht="13.5" x14ac:dyDescent="0.25">
      <c r="A645" s="91" t="s">
        <v>856</v>
      </c>
      <c r="B645" s="92" t="s">
        <v>285</v>
      </c>
      <c r="C645" s="91" t="s">
        <v>856</v>
      </c>
      <c r="D645" s="91" t="s">
        <v>256</v>
      </c>
      <c r="E645" s="93">
        <v>35002</v>
      </c>
      <c r="F645" s="94">
        <f t="shared" ca="1" si="20"/>
        <v>21</v>
      </c>
      <c r="G645" s="95" t="s">
        <v>257</v>
      </c>
      <c r="H645" s="96">
        <v>69200</v>
      </c>
      <c r="I645" s="97">
        <v>4</v>
      </c>
    </row>
    <row r="646" spans="1:9" ht="13.5" x14ac:dyDescent="0.25">
      <c r="A646" s="91" t="s">
        <v>856</v>
      </c>
      <c r="B646" s="92" t="s">
        <v>245</v>
      </c>
      <c r="C646" s="91" t="s">
        <v>856</v>
      </c>
      <c r="D646" s="91" t="s">
        <v>256</v>
      </c>
      <c r="E646" s="93">
        <v>35050</v>
      </c>
      <c r="F646" s="94">
        <f t="shared" ca="1" si="20"/>
        <v>20</v>
      </c>
      <c r="G646" s="95" t="s">
        <v>283</v>
      </c>
      <c r="H646" s="96">
        <v>67020</v>
      </c>
      <c r="I646" s="97">
        <v>1</v>
      </c>
    </row>
    <row r="647" spans="1:9" ht="13.5" x14ac:dyDescent="0.25">
      <c r="A647" s="91" t="s">
        <v>856</v>
      </c>
      <c r="B647" s="92" t="s">
        <v>271</v>
      </c>
      <c r="C647" s="91" t="s">
        <v>856</v>
      </c>
      <c r="D647" s="91" t="s">
        <v>247</v>
      </c>
      <c r="E647" s="93">
        <v>35096</v>
      </c>
      <c r="F647" s="94">
        <f t="shared" ca="1" si="20"/>
        <v>20</v>
      </c>
      <c r="G647" s="95"/>
      <c r="H647" s="96">
        <v>60800</v>
      </c>
      <c r="I647" s="97">
        <v>4</v>
      </c>
    </row>
    <row r="648" spans="1:9" ht="13.5" x14ac:dyDescent="0.25">
      <c r="A648" s="91" t="s">
        <v>856</v>
      </c>
      <c r="B648" s="92" t="s">
        <v>285</v>
      </c>
      <c r="C648" s="91" t="s">
        <v>856</v>
      </c>
      <c r="D648" s="91" t="s">
        <v>256</v>
      </c>
      <c r="E648" s="93">
        <v>35097</v>
      </c>
      <c r="F648" s="94">
        <f t="shared" ca="1" si="20"/>
        <v>20</v>
      </c>
      <c r="G648" s="95" t="s">
        <v>262</v>
      </c>
      <c r="H648" s="96">
        <v>45880</v>
      </c>
      <c r="I648" s="97">
        <v>5</v>
      </c>
    </row>
    <row r="649" spans="1:9" ht="13.5" x14ac:dyDescent="0.25">
      <c r="A649" s="91" t="s">
        <v>856</v>
      </c>
      <c r="B649" s="92" t="s">
        <v>285</v>
      </c>
      <c r="C649" s="91" t="s">
        <v>856</v>
      </c>
      <c r="D649" s="91" t="s">
        <v>261</v>
      </c>
      <c r="E649" s="93">
        <v>35113</v>
      </c>
      <c r="F649" s="94">
        <f t="shared" ca="1" si="20"/>
        <v>20</v>
      </c>
      <c r="G649" s="95" t="s">
        <v>276</v>
      </c>
      <c r="H649" s="96">
        <v>47350</v>
      </c>
      <c r="I649" s="97">
        <v>1</v>
      </c>
    </row>
    <row r="650" spans="1:9" ht="13.5" x14ac:dyDescent="0.25">
      <c r="A650" s="91" t="s">
        <v>856</v>
      </c>
      <c r="B650" s="92" t="s">
        <v>285</v>
      </c>
      <c r="C650" s="91" t="s">
        <v>856</v>
      </c>
      <c r="D650" s="91" t="s">
        <v>247</v>
      </c>
      <c r="E650" s="93">
        <v>35169</v>
      </c>
      <c r="F650" s="94">
        <f t="shared" ca="1" si="20"/>
        <v>20</v>
      </c>
      <c r="G650" s="95"/>
      <c r="H650" s="96">
        <v>54840</v>
      </c>
      <c r="I650" s="97">
        <v>4</v>
      </c>
    </row>
    <row r="651" spans="1:9" ht="13.5" x14ac:dyDescent="0.25">
      <c r="A651" s="91" t="s">
        <v>856</v>
      </c>
      <c r="B651" s="92" t="s">
        <v>266</v>
      </c>
      <c r="C651" s="91" t="s">
        <v>856</v>
      </c>
      <c r="D651" s="91" t="s">
        <v>256</v>
      </c>
      <c r="E651" s="93">
        <v>35204</v>
      </c>
      <c r="F651" s="94">
        <f t="shared" ca="1" si="20"/>
        <v>20</v>
      </c>
      <c r="G651" s="95" t="s">
        <v>283</v>
      </c>
      <c r="H651" s="96">
        <v>48250</v>
      </c>
      <c r="I651" s="97">
        <v>3</v>
      </c>
    </row>
    <row r="652" spans="1:9" ht="13.5" x14ac:dyDescent="0.25">
      <c r="A652" s="91" t="s">
        <v>856</v>
      </c>
      <c r="B652" s="92" t="s">
        <v>285</v>
      </c>
      <c r="C652" s="91" t="s">
        <v>856</v>
      </c>
      <c r="D652" s="91" t="s">
        <v>256</v>
      </c>
      <c r="E652" s="93">
        <v>35216</v>
      </c>
      <c r="F652" s="94">
        <f t="shared" ca="1" si="20"/>
        <v>20</v>
      </c>
      <c r="G652" s="95" t="s">
        <v>257</v>
      </c>
      <c r="H652" s="96">
        <v>29260</v>
      </c>
      <c r="I652" s="97">
        <v>4</v>
      </c>
    </row>
    <row r="653" spans="1:9" ht="13.5" x14ac:dyDescent="0.25">
      <c r="A653" s="91" t="s">
        <v>856</v>
      </c>
      <c r="B653" s="92" t="s">
        <v>271</v>
      </c>
      <c r="C653" s="91" t="s">
        <v>856</v>
      </c>
      <c r="D653" s="91" t="s">
        <v>261</v>
      </c>
      <c r="E653" s="93">
        <v>35221</v>
      </c>
      <c r="F653" s="94">
        <f t="shared" ca="1" si="20"/>
        <v>20</v>
      </c>
      <c r="G653" s="95" t="s">
        <v>267</v>
      </c>
      <c r="H653" s="96">
        <v>20990</v>
      </c>
      <c r="I653" s="97">
        <v>4</v>
      </c>
    </row>
    <row r="654" spans="1:9" ht="13.5" x14ac:dyDescent="0.25">
      <c r="A654" s="91" t="s">
        <v>856</v>
      </c>
      <c r="B654" s="92" t="s">
        <v>266</v>
      </c>
      <c r="C654" s="91" t="s">
        <v>856</v>
      </c>
      <c r="D654" s="91" t="s">
        <v>252</v>
      </c>
      <c r="E654" s="93">
        <v>35247</v>
      </c>
      <c r="F654" s="94">
        <f t="shared" ca="1" si="20"/>
        <v>20</v>
      </c>
      <c r="G654" s="95"/>
      <c r="H654" s="96">
        <v>15552</v>
      </c>
      <c r="I654" s="97">
        <v>4</v>
      </c>
    </row>
    <row r="655" spans="1:9" ht="13.5" x14ac:dyDescent="0.25">
      <c r="A655" s="91" t="s">
        <v>856</v>
      </c>
      <c r="B655" s="92" t="s">
        <v>271</v>
      </c>
      <c r="C655" s="91" t="s">
        <v>856</v>
      </c>
      <c r="D655" s="91" t="s">
        <v>247</v>
      </c>
      <c r="E655" s="93">
        <v>35332</v>
      </c>
      <c r="F655" s="94">
        <f t="shared" ca="1" si="20"/>
        <v>20</v>
      </c>
      <c r="G655" s="95"/>
      <c r="H655" s="96">
        <v>77760</v>
      </c>
      <c r="I655" s="97">
        <v>3</v>
      </c>
    </row>
    <row r="656" spans="1:9" ht="13.5" x14ac:dyDescent="0.25">
      <c r="A656" s="91" t="s">
        <v>856</v>
      </c>
      <c r="B656" s="92" t="s">
        <v>271</v>
      </c>
      <c r="C656" s="91" t="s">
        <v>856</v>
      </c>
      <c r="D656" s="91" t="s">
        <v>247</v>
      </c>
      <c r="E656" s="93">
        <v>35332</v>
      </c>
      <c r="F656" s="94">
        <f t="shared" ca="1" si="20"/>
        <v>20</v>
      </c>
      <c r="G656" s="95"/>
      <c r="H656" s="96">
        <v>77760</v>
      </c>
      <c r="I656" s="97">
        <v>3</v>
      </c>
    </row>
    <row r="657" spans="1:9" ht="13.5" x14ac:dyDescent="0.25">
      <c r="A657" s="91" t="s">
        <v>856</v>
      </c>
      <c r="B657" s="92" t="s">
        <v>251</v>
      </c>
      <c r="C657" s="91" t="s">
        <v>856</v>
      </c>
      <c r="D657" s="91" t="s">
        <v>247</v>
      </c>
      <c r="E657" s="93">
        <v>35772</v>
      </c>
      <c r="F657" s="94">
        <f t="shared" ca="1" si="20"/>
        <v>18</v>
      </c>
      <c r="G657" s="95"/>
      <c r="H657" s="96">
        <v>46780</v>
      </c>
      <c r="I657" s="97">
        <v>2</v>
      </c>
    </row>
    <row r="658" spans="1:9" ht="13.5" x14ac:dyDescent="0.25">
      <c r="A658" s="91" t="s">
        <v>856</v>
      </c>
      <c r="B658" s="92" t="s">
        <v>266</v>
      </c>
      <c r="C658" s="91" t="s">
        <v>856</v>
      </c>
      <c r="D658" s="91" t="s">
        <v>256</v>
      </c>
      <c r="E658" s="93">
        <v>36315</v>
      </c>
      <c r="F658" s="94">
        <f t="shared" ca="1" si="20"/>
        <v>17</v>
      </c>
      <c r="G658" s="95" t="s">
        <v>283</v>
      </c>
      <c r="H658" s="96">
        <v>82490</v>
      </c>
      <c r="I658" s="97">
        <v>5</v>
      </c>
    </row>
    <row r="659" spans="1:9" ht="13.5" x14ac:dyDescent="0.25">
      <c r="A659" s="91" t="s">
        <v>856</v>
      </c>
      <c r="B659" s="92" t="s">
        <v>245</v>
      </c>
      <c r="C659" s="91" t="s">
        <v>856</v>
      </c>
      <c r="D659" s="91" t="s">
        <v>261</v>
      </c>
      <c r="E659" s="93">
        <v>36465</v>
      </c>
      <c r="F659" s="94">
        <f t="shared" ca="1" si="20"/>
        <v>17</v>
      </c>
      <c r="G659" s="95" t="s">
        <v>262</v>
      </c>
      <c r="H659" s="96">
        <v>28525</v>
      </c>
      <c r="I659" s="97">
        <v>4</v>
      </c>
    </row>
    <row r="660" spans="1:9" ht="13.5" x14ac:dyDescent="0.25">
      <c r="A660" s="91" t="s">
        <v>856</v>
      </c>
      <c r="B660" s="92" t="s">
        <v>280</v>
      </c>
      <c r="C660" s="91" t="s">
        <v>856</v>
      </c>
      <c r="D660" s="91" t="s">
        <v>256</v>
      </c>
      <c r="E660" s="93">
        <v>36483</v>
      </c>
      <c r="F660" s="94">
        <f t="shared" ca="1" si="20"/>
        <v>16</v>
      </c>
      <c r="G660" s="95" t="s">
        <v>257</v>
      </c>
      <c r="H660" s="96">
        <v>29210</v>
      </c>
      <c r="I660" s="97">
        <v>5</v>
      </c>
    </row>
    <row r="661" spans="1:9" ht="13.5" x14ac:dyDescent="0.25">
      <c r="A661" s="91" t="s">
        <v>856</v>
      </c>
      <c r="B661" s="92" t="s">
        <v>280</v>
      </c>
      <c r="C661" s="91" t="s">
        <v>856</v>
      </c>
      <c r="D661" s="91" t="s">
        <v>261</v>
      </c>
      <c r="E661" s="93">
        <v>36505</v>
      </c>
      <c r="F661" s="94">
        <f t="shared" ca="1" si="20"/>
        <v>16</v>
      </c>
      <c r="G661" s="95" t="s">
        <v>257</v>
      </c>
      <c r="H661" s="96">
        <v>48740</v>
      </c>
      <c r="I661" s="97">
        <v>1</v>
      </c>
    </row>
    <row r="662" spans="1:9" ht="13.5" x14ac:dyDescent="0.25">
      <c r="A662" s="91" t="s">
        <v>856</v>
      </c>
      <c r="B662" s="92" t="s">
        <v>251</v>
      </c>
      <c r="C662" s="91" t="s">
        <v>856</v>
      </c>
      <c r="D662" s="91" t="s">
        <v>247</v>
      </c>
      <c r="E662" s="93">
        <v>36717</v>
      </c>
      <c r="F662" s="94">
        <f t="shared" ca="1" si="20"/>
        <v>16</v>
      </c>
      <c r="G662" s="95"/>
      <c r="H662" s="96">
        <v>64590</v>
      </c>
      <c r="I662" s="97">
        <v>1</v>
      </c>
    </row>
    <row r="663" spans="1:9" ht="13.5" x14ac:dyDescent="0.25">
      <c r="A663" s="91" t="s">
        <v>856</v>
      </c>
      <c r="B663" s="92" t="s">
        <v>245</v>
      </c>
      <c r="C663" s="91" t="s">
        <v>856</v>
      </c>
      <c r="D663" s="91" t="s">
        <v>256</v>
      </c>
      <c r="E663" s="93">
        <v>36927</v>
      </c>
      <c r="F663" s="94">
        <f t="shared" ref="F663:F674" ca="1" si="21">DATEDIF(E663,TODAY(),"Y")</f>
        <v>15</v>
      </c>
      <c r="G663" s="95" t="s">
        <v>283</v>
      </c>
      <c r="H663" s="96">
        <v>31910</v>
      </c>
      <c r="I663" s="97">
        <v>5</v>
      </c>
    </row>
    <row r="664" spans="1:9" ht="13.5" x14ac:dyDescent="0.25">
      <c r="A664" s="91" t="s">
        <v>856</v>
      </c>
      <c r="B664" s="92" t="s">
        <v>280</v>
      </c>
      <c r="C664" s="91" t="s">
        <v>856</v>
      </c>
      <c r="D664" s="91" t="s">
        <v>256</v>
      </c>
      <c r="E664" s="93">
        <v>37043</v>
      </c>
      <c r="F664" s="94">
        <f t="shared" ca="1" si="21"/>
        <v>15</v>
      </c>
      <c r="G664" s="95" t="s">
        <v>283</v>
      </c>
      <c r="H664" s="96">
        <v>83710</v>
      </c>
      <c r="I664" s="97">
        <v>3</v>
      </c>
    </row>
    <row r="665" spans="1:9" ht="13.5" x14ac:dyDescent="0.25">
      <c r="A665" s="91" t="s">
        <v>856</v>
      </c>
      <c r="B665" s="92" t="s">
        <v>285</v>
      </c>
      <c r="C665" s="91" t="s">
        <v>856</v>
      </c>
      <c r="D665" s="91" t="s">
        <v>247</v>
      </c>
      <c r="E665" s="93">
        <v>37483</v>
      </c>
      <c r="F665" s="94">
        <f t="shared" ca="1" si="21"/>
        <v>14</v>
      </c>
      <c r="G665" s="95"/>
      <c r="H665" s="96">
        <v>85930</v>
      </c>
      <c r="I665" s="97">
        <v>2</v>
      </c>
    </row>
    <row r="666" spans="1:9" ht="13.5" x14ac:dyDescent="0.25">
      <c r="A666" s="91" t="s">
        <v>856</v>
      </c>
      <c r="B666" s="92" t="s">
        <v>285</v>
      </c>
      <c r="C666" s="91" t="s">
        <v>856</v>
      </c>
      <c r="D666" s="91" t="s">
        <v>247</v>
      </c>
      <c r="E666" s="93">
        <v>37483</v>
      </c>
      <c r="F666" s="94">
        <f t="shared" ca="1" si="21"/>
        <v>14</v>
      </c>
      <c r="G666" s="95"/>
      <c r="H666" s="96">
        <v>85930</v>
      </c>
      <c r="I666" s="97">
        <v>2</v>
      </c>
    </row>
    <row r="667" spans="1:9" ht="13.5" x14ac:dyDescent="0.25">
      <c r="A667" s="91" t="s">
        <v>856</v>
      </c>
      <c r="B667" s="92" t="s">
        <v>285</v>
      </c>
      <c r="C667" s="91" t="s">
        <v>856</v>
      </c>
      <c r="D667" s="91" t="s">
        <v>256</v>
      </c>
      <c r="E667" s="93">
        <v>37592</v>
      </c>
      <c r="F667" s="94">
        <f t="shared" ca="1" si="21"/>
        <v>13</v>
      </c>
      <c r="G667" s="95" t="s">
        <v>257</v>
      </c>
      <c r="H667" s="96">
        <v>73560</v>
      </c>
      <c r="I667" s="97">
        <v>3</v>
      </c>
    </row>
    <row r="668" spans="1:9" ht="13.5" x14ac:dyDescent="0.25">
      <c r="A668" s="91" t="s">
        <v>856</v>
      </c>
      <c r="B668" s="92" t="s">
        <v>245</v>
      </c>
      <c r="C668" s="91" t="s">
        <v>856</v>
      </c>
      <c r="D668" s="91" t="s">
        <v>256</v>
      </c>
      <c r="E668" s="93">
        <v>37843</v>
      </c>
      <c r="F668" s="94">
        <f t="shared" ca="1" si="21"/>
        <v>13</v>
      </c>
      <c r="G668" s="95" t="s">
        <v>283</v>
      </c>
      <c r="H668" s="96">
        <v>43600</v>
      </c>
      <c r="I668" s="97">
        <v>5</v>
      </c>
    </row>
    <row r="669" spans="1:9" ht="13.5" x14ac:dyDescent="0.25">
      <c r="A669" s="91" t="s">
        <v>856</v>
      </c>
      <c r="B669" s="92" t="s">
        <v>285</v>
      </c>
      <c r="C669" s="91" t="s">
        <v>856</v>
      </c>
      <c r="D669" s="91" t="s">
        <v>247</v>
      </c>
      <c r="E669" s="93">
        <v>38410</v>
      </c>
      <c r="F669" s="94">
        <f t="shared" ca="1" si="21"/>
        <v>11</v>
      </c>
      <c r="G669" s="95"/>
      <c r="H669" s="96">
        <v>43320</v>
      </c>
      <c r="I669" s="97">
        <v>5</v>
      </c>
    </row>
    <row r="670" spans="1:9" ht="13.5" x14ac:dyDescent="0.25">
      <c r="A670" s="91" t="s">
        <v>856</v>
      </c>
      <c r="B670" s="92" t="s">
        <v>285</v>
      </c>
      <c r="C670" s="91" t="s">
        <v>856</v>
      </c>
      <c r="D670" s="91" t="s">
        <v>256</v>
      </c>
      <c r="E670" s="93">
        <v>38435</v>
      </c>
      <c r="F670" s="94">
        <f t="shared" ca="1" si="21"/>
        <v>11</v>
      </c>
      <c r="G670" s="95" t="s">
        <v>283</v>
      </c>
      <c r="H670" s="96">
        <v>29330</v>
      </c>
      <c r="I670" s="97">
        <v>5</v>
      </c>
    </row>
    <row r="671" spans="1:9" ht="13.5" x14ac:dyDescent="0.25">
      <c r="A671" s="91" t="s">
        <v>856</v>
      </c>
      <c r="B671" s="92" t="s">
        <v>245</v>
      </c>
      <c r="C671" s="91" t="s">
        <v>856</v>
      </c>
      <c r="D671" s="91" t="s">
        <v>256</v>
      </c>
      <c r="E671" s="93">
        <v>38505</v>
      </c>
      <c r="F671" s="94">
        <f t="shared" ca="1" si="21"/>
        <v>11</v>
      </c>
      <c r="G671" s="95" t="s">
        <v>283</v>
      </c>
      <c r="H671" s="96">
        <v>72060</v>
      </c>
      <c r="I671" s="97">
        <v>2</v>
      </c>
    </row>
    <row r="672" spans="1:9" ht="13.5" x14ac:dyDescent="0.25">
      <c r="A672" s="91" t="s">
        <v>856</v>
      </c>
      <c r="B672" s="92" t="s">
        <v>280</v>
      </c>
      <c r="C672" s="91" t="s">
        <v>856</v>
      </c>
      <c r="D672" s="91" t="s">
        <v>256</v>
      </c>
      <c r="E672" s="93">
        <v>38768</v>
      </c>
      <c r="F672" s="94">
        <f t="shared" ca="1" si="21"/>
        <v>10</v>
      </c>
      <c r="G672" s="95" t="s">
        <v>283</v>
      </c>
      <c r="H672" s="96">
        <v>23190</v>
      </c>
      <c r="I672" s="97">
        <v>5</v>
      </c>
    </row>
    <row r="673" spans="1:9" ht="13.5" x14ac:dyDescent="0.25">
      <c r="A673" s="91" t="s">
        <v>856</v>
      </c>
      <c r="B673" s="92" t="s">
        <v>271</v>
      </c>
      <c r="C673" s="91" t="s">
        <v>856</v>
      </c>
      <c r="D673" s="91" t="s">
        <v>247</v>
      </c>
      <c r="E673" s="93">
        <v>39040</v>
      </c>
      <c r="F673" s="94">
        <f t="shared" ca="1" si="21"/>
        <v>9</v>
      </c>
      <c r="G673" s="95"/>
      <c r="H673" s="96">
        <v>21580</v>
      </c>
      <c r="I673" s="97">
        <v>3</v>
      </c>
    </row>
    <row r="674" spans="1:9" ht="13.5" x14ac:dyDescent="0.25">
      <c r="A674" s="91" t="s">
        <v>856</v>
      </c>
      <c r="B674" s="92" t="s">
        <v>285</v>
      </c>
      <c r="C674" s="91" t="s">
        <v>856</v>
      </c>
      <c r="D674" s="91" t="s">
        <v>256</v>
      </c>
      <c r="E674" s="93">
        <v>39271</v>
      </c>
      <c r="F674" s="94">
        <f t="shared" ca="1" si="21"/>
        <v>9</v>
      </c>
      <c r="G674" s="95" t="s">
        <v>267</v>
      </c>
      <c r="H674" s="96">
        <v>80260</v>
      </c>
      <c r="I674" s="97">
        <v>3</v>
      </c>
    </row>
    <row r="675" spans="1:9" ht="13.5" x14ac:dyDescent="0.25">
      <c r="A675" s="98" t="s">
        <v>1055</v>
      </c>
      <c r="B675" s="92"/>
      <c r="C675" s="98"/>
      <c r="D675" s="91"/>
      <c r="E675" s="93"/>
      <c r="F675" s="94"/>
      <c r="G675" s="95"/>
      <c r="H675" s="96"/>
      <c r="I675" s="97"/>
    </row>
    <row r="676" spans="1:9" ht="13.5" x14ac:dyDescent="0.25">
      <c r="A676" s="91" t="s">
        <v>930</v>
      </c>
      <c r="B676" s="92" t="s">
        <v>285</v>
      </c>
      <c r="C676" s="91" t="s">
        <v>930</v>
      </c>
      <c r="D676" s="91" t="s">
        <v>247</v>
      </c>
      <c r="E676" s="93">
        <v>31834</v>
      </c>
      <c r="F676" s="94">
        <f t="shared" ref="F676:F739" ca="1" si="22">DATEDIF(E676,TODAY(),"Y")</f>
        <v>29</v>
      </c>
      <c r="G676" s="95"/>
      <c r="H676" s="96">
        <v>23340</v>
      </c>
      <c r="I676" s="97">
        <v>4</v>
      </c>
    </row>
    <row r="677" spans="1:9" ht="13.5" x14ac:dyDescent="0.25">
      <c r="A677" s="91" t="s">
        <v>930</v>
      </c>
      <c r="B677" s="92" t="s">
        <v>271</v>
      </c>
      <c r="C677" s="91" t="s">
        <v>930</v>
      </c>
      <c r="D677" s="91" t="s">
        <v>247</v>
      </c>
      <c r="E677" s="93">
        <v>31883</v>
      </c>
      <c r="F677" s="94">
        <f t="shared" ca="1" si="22"/>
        <v>29</v>
      </c>
      <c r="G677" s="95"/>
      <c r="H677" s="96">
        <v>63610</v>
      </c>
      <c r="I677" s="97">
        <v>5</v>
      </c>
    </row>
    <row r="678" spans="1:9" ht="13.5" x14ac:dyDescent="0.25">
      <c r="A678" s="91" t="s">
        <v>930</v>
      </c>
      <c r="B678" s="92" t="s">
        <v>271</v>
      </c>
      <c r="C678" s="91" t="s">
        <v>930</v>
      </c>
      <c r="D678" s="91" t="s">
        <v>256</v>
      </c>
      <c r="E678" s="93">
        <v>31969</v>
      </c>
      <c r="F678" s="94">
        <f t="shared" ca="1" si="22"/>
        <v>29</v>
      </c>
      <c r="G678" s="95" t="s">
        <v>257</v>
      </c>
      <c r="H678" s="96">
        <v>24200</v>
      </c>
      <c r="I678" s="97">
        <v>5</v>
      </c>
    </row>
    <row r="679" spans="1:9" ht="13.5" x14ac:dyDescent="0.25">
      <c r="A679" s="91" t="s">
        <v>930</v>
      </c>
      <c r="B679" s="92" t="s">
        <v>285</v>
      </c>
      <c r="C679" s="91" t="s">
        <v>930</v>
      </c>
      <c r="D679" s="91" t="s">
        <v>261</v>
      </c>
      <c r="E679" s="93">
        <v>32081</v>
      </c>
      <c r="F679" s="94">
        <f t="shared" ca="1" si="22"/>
        <v>29</v>
      </c>
      <c r="G679" s="95" t="s">
        <v>283</v>
      </c>
      <c r="H679" s="96">
        <v>13455</v>
      </c>
      <c r="I679" s="97">
        <v>2</v>
      </c>
    </row>
    <row r="680" spans="1:9" ht="13.5" x14ac:dyDescent="0.25">
      <c r="A680" s="91" t="s">
        <v>930</v>
      </c>
      <c r="B680" s="92" t="s">
        <v>245</v>
      </c>
      <c r="C680" s="91" t="s">
        <v>930</v>
      </c>
      <c r="D680" s="91" t="s">
        <v>247</v>
      </c>
      <c r="E680" s="93">
        <v>32091</v>
      </c>
      <c r="F680" s="94">
        <f t="shared" ca="1" si="22"/>
        <v>29</v>
      </c>
      <c r="G680" s="95"/>
      <c r="H680" s="96">
        <v>34680</v>
      </c>
      <c r="I680" s="97">
        <v>5</v>
      </c>
    </row>
    <row r="681" spans="1:9" ht="13.5" x14ac:dyDescent="0.25">
      <c r="A681" s="91" t="s">
        <v>930</v>
      </c>
      <c r="B681" s="92" t="s">
        <v>280</v>
      </c>
      <c r="C681" s="91" t="s">
        <v>930</v>
      </c>
      <c r="D681" s="91" t="s">
        <v>247</v>
      </c>
      <c r="E681" s="93">
        <v>32103</v>
      </c>
      <c r="F681" s="94">
        <f t="shared" ca="1" si="22"/>
        <v>28</v>
      </c>
      <c r="G681" s="95"/>
      <c r="H681" s="96">
        <v>26020</v>
      </c>
      <c r="I681" s="97">
        <v>5</v>
      </c>
    </row>
    <row r="682" spans="1:9" ht="13.5" x14ac:dyDescent="0.25">
      <c r="A682" s="91" t="s">
        <v>930</v>
      </c>
      <c r="B682" s="92" t="s">
        <v>285</v>
      </c>
      <c r="C682" s="91" t="s">
        <v>930</v>
      </c>
      <c r="D682" s="91" t="s">
        <v>247</v>
      </c>
      <c r="E682" s="93">
        <v>32185</v>
      </c>
      <c r="F682" s="94">
        <f t="shared" ca="1" si="22"/>
        <v>28</v>
      </c>
      <c r="G682" s="95"/>
      <c r="H682" s="96">
        <v>62480</v>
      </c>
      <c r="I682" s="97">
        <v>5</v>
      </c>
    </row>
    <row r="683" spans="1:9" ht="13.5" x14ac:dyDescent="0.25">
      <c r="A683" s="91" t="s">
        <v>930</v>
      </c>
      <c r="B683" s="92" t="s">
        <v>271</v>
      </c>
      <c r="C683" s="91" t="s">
        <v>930</v>
      </c>
      <c r="D683" s="91" t="s">
        <v>247</v>
      </c>
      <c r="E683" s="93">
        <v>32196</v>
      </c>
      <c r="F683" s="94">
        <f t="shared" ca="1" si="22"/>
        <v>28</v>
      </c>
      <c r="G683" s="95"/>
      <c r="H683" s="96">
        <v>61134</v>
      </c>
      <c r="I683" s="97">
        <v>4</v>
      </c>
    </row>
    <row r="684" spans="1:9" ht="13.5" x14ac:dyDescent="0.25">
      <c r="A684" s="91" t="s">
        <v>930</v>
      </c>
      <c r="B684" s="92" t="s">
        <v>285</v>
      </c>
      <c r="C684" s="91" t="s">
        <v>930</v>
      </c>
      <c r="D684" s="91" t="s">
        <v>247</v>
      </c>
      <c r="E684" s="93">
        <v>32252</v>
      </c>
      <c r="F684" s="94">
        <f t="shared" ca="1" si="22"/>
        <v>28</v>
      </c>
      <c r="G684" s="95"/>
      <c r="H684" s="96">
        <v>57500</v>
      </c>
      <c r="I684" s="97">
        <v>1</v>
      </c>
    </row>
    <row r="685" spans="1:9" ht="13.5" x14ac:dyDescent="0.25">
      <c r="A685" s="91" t="s">
        <v>930</v>
      </c>
      <c r="B685" s="92" t="s">
        <v>285</v>
      </c>
      <c r="C685" s="91" t="s">
        <v>930</v>
      </c>
      <c r="D685" s="91" t="s">
        <v>256</v>
      </c>
      <c r="E685" s="93">
        <v>32371</v>
      </c>
      <c r="F685" s="94">
        <f t="shared" ca="1" si="22"/>
        <v>28</v>
      </c>
      <c r="G685" s="95" t="s">
        <v>262</v>
      </c>
      <c r="H685" s="96">
        <v>46550</v>
      </c>
      <c r="I685" s="97">
        <v>4</v>
      </c>
    </row>
    <row r="686" spans="1:9" ht="13.5" x14ac:dyDescent="0.25">
      <c r="A686" s="91" t="s">
        <v>930</v>
      </c>
      <c r="B686" s="92" t="s">
        <v>245</v>
      </c>
      <c r="C686" s="91" t="s">
        <v>930</v>
      </c>
      <c r="D686" s="91" t="s">
        <v>247</v>
      </c>
      <c r="E686" s="93">
        <v>32479</v>
      </c>
      <c r="F686" s="94">
        <f t="shared" ca="1" si="22"/>
        <v>27</v>
      </c>
      <c r="G686" s="95"/>
      <c r="H686" s="96">
        <v>59128</v>
      </c>
      <c r="I686" s="97">
        <v>4</v>
      </c>
    </row>
    <row r="687" spans="1:9" ht="13.5" x14ac:dyDescent="0.25">
      <c r="A687" s="91" t="s">
        <v>930</v>
      </c>
      <c r="B687" s="92" t="s">
        <v>271</v>
      </c>
      <c r="C687" s="91" t="s">
        <v>930</v>
      </c>
      <c r="D687" s="91" t="s">
        <v>256</v>
      </c>
      <c r="E687" s="93">
        <v>32496</v>
      </c>
      <c r="F687" s="94">
        <f t="shared" ca="1" si="22"/>
        <v>27</v>
      </c>
      <c r="G687" s="95" t="s">
        <v>262</v>
      </c>
      <c r="H687" s="96">
        <v>62780</v>
      </c>
      <c r="I687" s="97">
        <v>3</v>
      </c>
    </row>
    <row r="688" spans="1:9" ht="13.5" x14ac:dyDescent="0.25">
      <c r="A688" s="91" t="s">
        <v>930</v>
      </c>
      <c r="B688" s="92" t="s">
        <v>245</v>
      </c>
      <c r="C688" s="91" t="s">
        <v>930</v>
      </c>
      <c r="D688" s="91" t="s">
        <v>247</v>
      </c>
      <c r="E688" s="93">
        <v>32510</v>
      </c>
      <c r="F688" s="94">
        <f t="shared" ca="1" si="22"/>
        <v>27</v>
      </c>
      <c r="G688" s="95"/>
      <c r="H688" s="96">
        <v>70300</v>
      </c>
      <c r="I688" s="97">
        <v>3</v>
      </c>
    </row>
    <row r="689" spans="1:9" ht="13.5" x14ac:dyDescent="0.25">
      <c r="A689" s="91" t="s">
        <v>930</v>
      </c>
      <c r="B689" s="92" t="s">
        <v>266</v>
      </c>
      <c r="C689" s="91" t="s">
        <v>930</v>
      </c>
      <c r="D689" s="91" t="s">
        <v>256</v>
      </c>
      <c r="E689" s="93">
        <v>32611</v>
      </c>
      <c r="F689" s="94">
        <f t="shared" ca="1" si="22"/>
        <v>27</v>
      </c>
      <c r="G689" s="95" t="s">
        <v>267</v>
      </c>
      <c r="H689" s="96">
        <v>32160</v>
      </c>
      <c r="I689" s="97">
        <v>3</v>
      </c>
    </row>
    <row r="690" spans="1:9" ht="13.5" x14ac:dyDescent="0.25">
      <c r="A690" s="91" t="s">
        <v>930</v>
      </c>
      <c r="B690" s="92" t="s">
        <v>271</v>
      </c>
      <c r="C690" s="91" t="s">
        <v>930</v>
      </c>
      <c r="D690" s="91" t="s">
        <v>256</v>
      </c>
      <c r="E690" s="93">
        <v>32647</v>
      </c>
      <c r="F690" s="94">
        <f t="shared" ca="1" si="22"/>
        <v>27</v>
      </c>
      <c r="G690" s="95" t="s">
        <v>262</v>
      </c>
      <c r="H690" s="96">
        <v>59490</v>
      </c>
      <c r="I690" s="97">
        <v>3</v>
      </c>
    </row>
    <row r="691" spans="1:9" ht="13.5" x14ac:dyDescent="0.25">
      <c r="A691" s="91" t="s">
        <v>930</v>
      </c>
      <c r="B691" s="92" t="s">
        <v>285</v>
      </c>
      <c r="C691" s="91" t="s">
        <v>930</v>
      </c>
      <c r="D691" s="91" t="s">
        <v>247</v>
      </c>
      <c r="E691" s="93">
        <v>32664</v>
      </c>
      <c r="F691" s="94">
        <f t="shared" ca="1" si="22"/>
        <v>27</v>
      </c>
      <c r="G691" s="95"/>
      <c r="H691" s="96">
        <v>70150</v>
      </c>
      <c r="I691" s="97">
        <v>2</v>
      </c>
    </row>
    <row r="692" spans="1:9" ht="13.5" x14ac:dyDescent="0.25">
      <c r="A692" s="91" t="s">
        <v>930</v>
      </c>
      <c r="B692" s="92" t="s">
        <v>271</v>
      </c>
      <c r="C692" s="91" t="s">
        <v>930</v>
      </c>
      <c r="D692" s="91" t="s">
        <v>247</v>
      </c>
      <c r="E692" s="93">
        <v>32667</v>
      </c>
      <c r="F692" s="94">
        <f t="shared" ca="1" si="22"/>
        <v>27</v>
      </c>
      <c r="G692" s="95"/>
      <c r="H692" s="96">
        <v>63290</v>
      </c>
      <c r="I692" s="97">
        <v>5</v>
      </c>
    </row>
    <row r="693" spans="1:9" ht="13.5" x14ac:dyDescent="0.25">
      <c r="A693" s="91" t="s">
        <v>930</v>
      </c>
      <c r="B693" s="92" t="s">
        <v>280</v>
      </c>
      <c r="C693" s="91" t="s">
        <v>930</v>
      </c>
      <c r="D693" s="91" t="s">
        <v>256</v>
      </c>
      <c r="E693" s="93">
        <v>32668</v>
      </c>
      <c r="F693" s="94">
        <f t="shared" ca="1" si="22"/>
        <v>27</v>
      </c>
      <c r="G693" s="95" t="s">
        <v>283</v>
      </c>
      <c r="H693" s="96">
        <v>46410</v>
      </c>
      <c r="I693" s="97">
        <v>2</v>
      </c>
    </row>
    <row r="694" spans="1:9" ht="13.5" x14ac:dyDescent="0.25">
      <c r="A694" s="91" t="s">
        <v>930</v>
      </c>
      <c r="B694" s="92" t="s">
        <v>285</v>
      </c>
      <c r="C694" s="91" t="s">
        <v>930</v>
      </c>
      <c r="D694" s="91" t="s">
        <v>261</v>
      </c>
      <c r="E694" s="93">
        <v>32695</v>
      </c>
      <c r="F694" s="94">
        <f t="shared" ca="1" si="22"/>
        <v>27</v>
      </c>
      <c r="G694" s="95" t="s">
        <v>257</v>
      </c>
      <c r="H694" s="96">
        <v>19935</v>
      </c>
      <c r="I694" s="97">
        <v>1</v>
      </c>
    </row>
    <row r="695" spans="1:9" ht="13.5" x14ac:dyDescent="0.25">
      <c r="A695" s="91" t="s">
        <v>930</v>
      </c>
      <c r="B695" s="92" t="s">
        <v>271</v>
      </c>
      <c r="C695" s="91" t="s">
        <v>930</v>
      </c>
      <c r="D695" s="91" t="s">
        <v>261</v>
      </c>
      <c r="E695" s="93">
        <v>32732</v>
      </c>
      <c r="F695" s="94">
        <f t="shared" ca="1" si="22"/>
        <v>27</v>
      </c>
      <c r="G695" s="95" t="s">
        <v>267</v>
      </c>
      <c r="H695" s="96">
        <v>27710</v>
      </c>
      <c r="I695" s="97">
        <v>3</v>
      </c>
    </row>
    <row r="696" spans="1:9" ht="13.5" x14ac:dyDescent="0.25">
      <c r="A696" s="91" t="s">
        <v>930</v>
      </c>
      <c r="B696" s="92" t="s">
        <v>285</v>
      </c>
      <c r="C696" s="91" t="s">
        <v>930</v>
      </c>
      <c r="D696" s="91" t="s">
        <v>247</v>
      </c>
      <c r="E696" s="93">
        <v>32816</v>
      </c>
      <c r="F696" s="94">
        <f t="shared" ca="1" si="22"/>
        <v>27</v>
      </c>
      <c r="G696" s="95"/>
      <c r="H696" s="96">
        <v>75550</v>
      </c>
      <c r="I696" s="97">
        <v>3</v>
      </c>
    </row>
    <row r="697" spans="1:9" ht="13.5" x14ac:dyDescent="0.25">
      <c r="A697" s="91" t="s">
        <v>930</v>
      </c>
      <c r="B697" s="92" t="s">
        <v>280</v>
      </c>
      <c r="C697" s="91" t="s">
        <v>930</v>
      </c>
      <c r="D697" s="91" t="s">
        <v>247</v>
      </c>
      <c r="E697" s="93">
        <v>32825</v>
      </c>
      <c r="F697" s="94">
        <f t="shared" ca="1" si="22"/>
        <v>27</v>
      </c>
      <c r="G697" s="95"/>
      <c r="H697" s="96">
        <v>78590</v>
      </c>
      <c r="I697" s="97">
        <v>1</v>
      </c>
    </row>
    <row r="698" spans="1:9" ht="13.5" x14ac:dyDescent="0.25">
      <c r="A698" s="91" t="s">
        <v>930</v>
      </c>
      <c r="B698" s="92" t="s">
        <v>285</v>
      </c>
      <c r="C698" s="91" t="s">
        <v>930</v>
      </c>
      <c r="D698" s="91" t="s">
        <v>261</v>
      </c>
      <c r="E698" s="93">
        <v>32830</v>
      </c>
      <c r="F698" s="94">
        <f t="shared" ca="1" si="22"/>
        <v>26</v>
      </c>
      <c r="G698" s="95" t="s">
        <v>276</v>
      </c>
      <c r="H698" s="96">
        <v>11230</v>
      </c>
      <c r="I698" s="97">
        <v>4</v>
      </c>
    </row>
    <row r="699" spans="1:9" ht="13.5" x14ac:dyDescent="0.25">
      <c r="A699" s="91" t="s">
        <v>930</v>
      </c>
      <c r="B699" s="92" t="s">
        <v>271</v>
      </c>
      <c r="C699" s="91" t="s">
        <v>930</v>
      </c>
      <c r="D699" s="91" t="s">
        <v>261</v>
      </c>
      <c r="E699" s="93">
        <v>32844</v>
      </c>
      <c r="F699" s="94">
        <f t="shared" ca="1" si="22"/>
        <v>26</v>
      </c>
      <c r="G699" s="95" t="s">
        <v>257</v>
      </c>
      <c r="H699" s="96">
        <v>49545</v>
      </c>
      <c r="I699" s="97">
        <v>2</v>
      </c>
    </row>
    <row r="700" spans="1:9" ht="13.5" x14ac:dyDescent="0.25">
      <c r="A700" s="91" t="s">
        <v>930</v>
      </c>
      <c r="B700" s="92" t="s">
        <v>280</v>
      </c>
      <c r="C700" s="91" t="s">
        <v>930</v>
      </c>
      <c r="D700" s="91" t="s">
        <v>247</v>
      </c>
      <c r="E700" s="93">
        <v>32849</v>
      </c>
      <c r="F700" s="94">
        <f t="shared" ca="1" si="22"/>
        <v>26</v>
      </c>
      <c r="G700" s="95"/>
      <c r="H700" s="96">
        <v>35240</v>
      </c>
      <c r="I700" s="97">
        <v>3</v>
      </c>
    </row>
    <row r="701" spans="1:9" ht="13.5" x14ac:dyDescent="0.25">
      <c r="A701" s="91" t="s">
        <v>930</v>
      </c>
      <c r="B701" s="92" t="s">
        <v>285</v>
      </c>
      <c r="C701" s="91" t="s">
        <v>930</v>
      </c>
      <c r="D701" s="91" t="s">
        <v>256</v>
      </c>
      <c r="E701" s="93">
        <v>32976</v>
      </c>
      <c r="F701" s="94">
        <f t="shared" ca="1" si="22"/>
        <v>26</v>
      </c>
      <c r="G701" s="95" t="s">
        <v>283</v>
      </c>
      <c r="H701" s="96">
        <v>87220</v>
      </c>
      <c r="I701" s="97">
        <v>1</v>
      </c>
    </row>
    <row r="702" spans="1:9" ht="13.5" x14ac:dyDescent="0.25">
      <c r="A702" s="91" t="s">
        <v>930</v>
      </c>
      <c r="B702" s="92" t="s">
        <v>271</v>
      </c>
      <c r="C702" s="91" t="s">
        <v>930</v>
      </c>
      <c r="D702" s="91" t="s">
        <v>256</v>
      </c>
      <c r="E702" s="93">
        <v>33115</v>
      </c>
      <c r="F702" s="94">
        <f t="shared" ca="1" si="22"/>
        <v>26</v>
      </c>
      <c r="G702" s="95" t="s">
        <v>283</v>
      </c>
      <c r="H702" s="96">
        <v>73850</v>
      </c>
      <c r="I702" s="97">
        <v>2</v>
      </c>
    </row>
    <row r="703" spans="1:9" ht="13.5" x14ac:dyDescent="0.25">
      <c r="A703" s="91" t="s">
        <v>930</v>
      </c>
      <c r="B703" s="92" t="s">
        <v>285</v>
      </c>
      <c r="C703" s="91" t="s">
        <v>930</v>
      </c>
      <c r="D703" s="91" t="s">
        <v>247</v>
      </c>
      <c r="E703" s="93">
        <v>33224</v>
      </c>
      <c r="F703" s="94">
        <f t="shared" ca="1" si="22"/>
        <v>25</v>
      </c>
      <c r="G703" s="95"/>
      <c r="H703" s="96">
        <v>45105</v>
      </c>
      <c r="I703" s="97">
        <v>1</v>
      </c>
    </row>
    <row r="704" spans="1:9" ht="13.5" x14ac:dyDescent="0.25">
      <c r="A704" s="91" t="s">
        <v>930</v>
      </c>
      <c r="B704" s="92" t="s">
        <v>271</v>
      </c>
      <c r="C704" s="91" t="s">
        <v>930</v>
      </c>
      <c r="D704" s="91" t="s">
        <v>256</v>
      </c>
      <c r="E704" s="93">
        <v>33360</v>
      </c>
      <c r="F704" s="94">
        <f t="shared" ca="1" si="22"/>
        <v>25</v>
      </c>
      <c r="G704" s="95" t="s">
        <v>257</v>
      </c>
      <c r="H704" s="96">
        <v>69510</v>
      </c>
      <c r="I704" s="97">
        <v>5</v>
      </c>
    </row>
    <row r="705" spans="1:9" ht="13.5" x14ac:dyDescent="0.25">
      <c r="A705" s="91" t="s">
        <v>930</v>
      </c>
      <c r="B705" s="92" t="s">
        <v>271</v>
      </c>
      <c r="C705" s="91" t="s">
        <v>930</v>
      </c>
      <c r="D705" s="91" t="s">
        <v>247</v>
      </c>
      <c r="E705" s="93">
        <v>33413</v>
      </c>
      <c r="F705" s="94">
        <f t="shared" ca="1" si="22"/>
        <v>25</v>
      </c>
      <c r="G705" s="95"/>
      <c r="H705" s="96">
        <v>64263</v>
      </c>
      <c r="I705" s="97">
        <v>3</v>
      </c>
    </row>
    <row r="706" spans="1:9" ht="13.5" x14ac:dyDescent="0.25">
      <c r="A706" s="91" t="s">
        <v>930</v>
      </c>
      <c r="B706" s="92" t="s">
        <v>285</v>
      </c>
      <c r="C706" s="91" t="s">
        <v>930</v>
      </c>
      <c r="D706" s="91" t="s">
        <v>252</v>
      </c>
      <c r="E706" s="93">
        <v>33515</v>
      </c>
      <c r="F706" s="94">
        <f t="shared" ca="1" si="22"/>
        <v>25</v>
      </c>
      <c r="G706" s="95"/>
      <c r="H706" s="96">
        <v>26944</v>
      </c>
      <c r="I706" s="97">
        <v>4</v>
      </c>
    </row>
    <row r="707" spans="1:9" ht="13.5" x14ac:dyDescent="0.25">
      <c r="A707" s="91" t="s">
        <v>930</v>
      </c>
      <c r="B707" s="92" t="s">
        <v>245</v>
      </c>
      <c r="C707" s="91" t="s">
        <v>930</v>
      </c>
      <c r="D707" s="91" t="s">
        <v>261</v>
      </c>
      <c r="E707" s="93">
        <v>33650</v>
      </c>
      <c r="F707" s="94">
        <f t="shared" ca="1" si="22"/>
        <v>24</v>
      </c>
      <c r="G707" s="95" t="s">
        <v>276</v>
      </c>
      <c r="H707" s="96">
        <v>23000</v>
      </c>
      <c r="I707" s="97">
        <v>4</v>
      </c>
    </row>
    <row r="708" spans="1:9" ht="13.5" x14ac:dyDescent="0.25">
      <c r="A708" s="91" t="s">
        <v>930</v>
      </c>
      <c r="B708" s="92" t="s">
        <v>285</v>
      </c>
      <c r="C708" s="91" t="s">
        <v>930</v>
      </c>
      <c r="D708" s="91" t="s">
        <v>256</v>
      </c>
      <c r="E708" s="93">
        <v>33742</v>
      </c>
      <c r="F708" s="94">
        <f t="shared" ca="1" si="22"/>
        <v>24</v>
      </c>
      <c r="G708" s="95" t="s">
        <v>267</v>
      </c>
      <c r="H708" s="96">
        <v>64780</v>
      </c>
      <c r="I708" s="97">
        <v>5</v>
      </c>
    </row>
    <row r="709" spans="1:9" ht="13.5" x14ac:dyDescent="0.25">
      <c r="A709" s="91" t="s">
        <v>930</v>
      </c>
      <c r="B709" s="92" t="s">
        <v>285</v>
      </c>
      <c r="C709" s="91" t="s">
        <v>930</v>
      </c>
      <c r="D709" s="91" t="s">
        <v>256</v>
      </c>
      <c r="E709" s="93">
        <v>33742</v>
      </c>
      <c r="F709" s="94">
        <f t="shared" ca="1" si="22"/>
        <v>24</v>
      </c>
      <c r="G709" s="95" t="s">
        <v>267</v>
      </c>
      <c r="H709" s="96">
        <v>64780</v>
      </c>
      <c r="I709" s="97">
        <v>5</v>
      </c>
    </row>
    <row r="710" spans="1:9" ht="13.5" x14ac:dyDescent="0.25">
      <c r="A710" s="91" t="s">
        <v>930</v>
      </c>
      <c r="B710" s="92" t="s">
        <v>285</v>
      </c>
      <c r="C710" s="91" t="s">
        <v>930</v>
      </c>
      <c r="D710" s="91" t="s">
        <v>256</v>
      </c>
      <c r="E710" s="93">
        <v>33827</v>
      </c>
      <c r="F710" s="94">
        <f t="shared" ca="1" si="22"/>
        <v>24</v>
      </c>
      <c r="G710" s="95" t="s">
        <v>283</v>
      </c>
      <c r="H710" s="96">
        <v>33590</v>
      </c>
      <c r="I710" s="97">
        <v>5</v>
      </c>
    </row>
    <row r="711" spans="1:9" ht="13.5" x14ac:dyDescent="0.25">
      <c r="A711" s="91" t="s">
        <v>930</v>
      </c>
      <c r="B711" s="92" t="s">
        <v>285</v>
      </c>
      <c r="C711" s="91" t="s">
        <v>930</v>
      </c>
      <c r="D711" s="91" t="s">
        <v>252</v>
      </c>
      <c r="E711" s="93">
        <v>33937</v>
      </c>
      <c r="F711" s="94">
        <f t="shared" ca="1" si="22"/>
        <v>23</v>
      </c>
      <c r="G711" s="95"/>
      <c r="H711" s="96">
        <v>33752</v>
      </c>
      <c r="I711" s="97">
        <v>3</v>
      </c>
    </row>
    <row r="712" spans="1:9" ht="13.5" x14ac:dyDescent="0.25">
      <c r="A712" s="91" t="s">
        <v>930</v>
      </c>
      <c r="B712" s="92" t="s">
        <v>285</v>
      </c>
      <c r="C712" s="91" t="s">
        <v>930</v>
      </c>
      <c r="D712" s="91" t="s">
        <v>256</v>
      </c>
      <c r="E712" s="93">
        <v>33966</v>
      </c>
      <c r="F712" s="94">
        <f t="shared" ca="1" si="22"/>
        <v>23</v>
      </c>
      <c r="G712" s="95" t="s">
        <v>257</v>
      </c>
      <c r="H712" s="96">
        <v>58370</v>
      </c>
      <c r="I712" s="97">
        <v>5</v>
      </c>
    </row>
    <row r="713" spans="1:9" ht="13.5" x14ac:dyDescent="0.25">
      <c r="A713" s="91" t="s">
        <v>930</v>
      </c>
      <c r="B713" s="92" t="s">
        <v>280</v>
      </c>
      <c r="C713" s="91" t="s">
        <v>930</v>
      </c>
      <c r="D713" s="91" t="s">
        <v>247</v>
      </c>
      <c r="E713" s="93">
        <v>33970</v>
      </c>
      <c r="F713" s="94">
        <f t="shared" ca="1" si="22"/>
        <v>23</v>
      </c>
      <c r="G713" s="95"/>
      <c r="H713" s="96">
        <v>41770</v>
      </c>
      <c r="I713" s="97">
        <v>5</v>
      </c>
    </row>
    <row r="714" spans="1:9" ht="13.5" x14ac:dyDescent="0.25">
      <c r="A714" s="91" t="s">
        <v>930</v>
      </c>
      <c r="B714" s="92" t="s">
        <v>266</v>
      </c>
      <c r="C714" s="91" t="s">
        <v>930</v>
      </c>
      <c r="D714" s="91" t="s">
        <v>261</v>
      </c>
      <c r="E714" s="93">
        <v>33987</v>
      </c>
      <c r="F714" s="94">
        <f t="shared" ca="1" si="22"/>
        <v>23</v>
      </c>
      <c r="G714" s="95" t="s">
        <v>283</v>
      </c>
      <c r="H714" s="96">
        <v>38105</v>
      </c>
      <c r="I714" s="97">
        <v>2</v>
      </c>
    </row>
    <row r="715" spans="1:9" ht="13.5" x14ac:dyDescent="0.25">
      <c r="A715" s="91" t="s">
        <v>930</v>
      </c>
      <c r="B715" s="92" t="s">
        <v>251</v>
      </c>
      <c r="C715" s="91" t="s">
        <v>930</v>
      </c>
      <c r="D715" s="91" t="s">
        <v>256</v>
      </c>
      <c r="E715" s="93">
        <v>33997</v>
      </c>
      <c r="F715" s="94">
        <f t="shared" ca="1" si="22"/>
        <v>23</v>
      </c>
      <c r="G715" s="95" t="s">
        <v>257</v>
      </c>
      <c r="H715" s="96">
        <v>31690</v>
      </c>
      <c r="I715" s="97">
        <v>4</v>
      </c>
    </row>
    <row r="716" spans="1:9" ht="13.5" x14ac:dyDescent="0.25">
      <c r="A716" s="91" t="s">
        <v>930</v>
      </c>
      <c r="B716" s="92" t="s">
        <v>280</v>
      </c>
      <c r="C716" s="91" t="s">
        <v>930</v>
      </c>
      <c r="D716" s="91" t="s">
        <v>247</v>
      </c>
      <c r="E716" s="93">
        <v>34028</v>
      </c>
      <c r="F716" s="94">
        <f t="shared" ca="1" si="22"/>
        <v>23</v>
      </c>
      <c r="G716" s="95"/>
      <c r="H716" s="96">
        <v>87830</v>
      </c>
      <c r="I716" s="97">
        <v>2</v>
      </c>
    </row>
    <row r="717" spans="1:9" ht="13.5" x14ac:dyDescent="0.25">
      <c r="A717" s="91" t="s">
        <v>930</v>
      </c>
      <c r="B717" s="92" t="s">
        <v>271</v>
      </c>
      <c r="C717" s="91" t="s">
        <v>930</v>
      </c>
      <c r="D717" s="91" t="s">
        <v>256</v>
      </c>
      <c r="E717" s="93">
        <v>34054</v>
      </c>
      <c r="F717" s="94">
        <f t="shared" ca="1" si="22"/>
        <v>23</v>
      </c>
      <c r="G717" s="95" t="s">
        <v>257</v>
      </c>
      <c r="H717" s="96">
        <v>27130</v>
      </c>
      <c r="I717" s="97">
        <v>5</v>
      </c>
    </row>
    <row r="718" spans="1:9" ht="13.5" x14ac:dyDescent="0.25">
      <c r="A718" s="91" t="s">
        <v>930</v>
      </c>
      <c r="B718" s="92" t="s">
        <v>285</v>
      </c>
      <c r="C718" s="91" t="s">
        <v>930</v>
      </c>
      <c r="D718" s="91" t="s">
        <v>261</v>
      </c>
      <c r="E718" s="93">
        <v>34156</v>
      </c>
      <c r="F718" s="94">
        <f t="shared" ca="1" si="22"/>
        <v>23</v>
      </c>
      <c r="G718" s="95" t="s">
        <v>262</v>
      </c>
      <c r="H718" s="96">
        <v>37660</v>
      </c>
      <c r="I718" s="97">
        <v>4</v>
      </c>
    </row>
    <row r="719" spans="1:9" ht="13.5" x14ac:dyDescent="0.25">
      <c r="A719" s="91" t="s">
        <v>930</v>
      </c>
      <c r="B719" s="92" t="s">
        <v>245</v>
      </c>
      <c r="C719" s="91" t="s">
        <v>930</v>
      </c>
      <c r="D719" s="91" t="s">
        <v>261</v>
      </c>
      <c r="E719" s="93">
        <v>34208</v>
      </c>
      <c r="F719" s="94">
        <f t="shared" ca="1" si="22"/>
        <v>23</v>
      </c>
      <c r="G719" s="95" t="s">
        <v>262</v>
      </c>
      <c r="H719" s="96">
        <v>13690</v>
      </c>
      <c r="I719" s="97">
        <v>5</v>
      </c>
    </row>
    <row r="720" spans="1:9" ht="13.5" x14ac:dyDescent="0.25">
      <c r="A720" s="91" t="s">
        <v>930</v>
      </c>
      <c r="B720" s="92" t="s">
        <v>285</v>
      </c>
      <c r="C720" s="91" t="s">
        <v>930</v>
      </c>
      <c r="D720" s="91" t="s">
        <v>252</v>
      </c>
      <c r="E720" s="93">
        <v>34266</v>
      </c>
      <c r="F720" s="94">
        <f t="shared" ca="1" si="22"/>
        <v>23</v>
      </c>
      <c r="G720" s="95"/>
      <c r="H720" s="96">
        <v>28768</v>
      </c>
      <c r="I720" s="97">
        <v>3</v>
      </c>
    </row>
    <row r="721" spans="1:9" ht="13.5" x14ac:dyDescent="0.25">
      <c r="A721" s="91" t="s">
        <v>930</v>
      </c>
      <c r="B721" s="92" t="s">
        <v>285</v>
      </c>
      <c r="C721" s="91" t="s">
        <v>930</v>
      </c>
      <c r="D721" s="91" t="s">
        <v>256</v>
      </c>
      <c r="E721" s="93">
        <v>34317</v>
      </c>
      <c r="F721" s="94">
        <f t="shared" ca="1" si="22"/>
        <v>22</v>
      </c>
      <c r="G721" s="95" t="s">
        <v>283</v>
      </c>
      <c r="H721" s="96">
        <v>41380</v>
      </c>
      <c r="I721" s="97">
        <v>2</v>
      </c>
    </row>
    <row r="722" spans="1:9" ht="13.5" x14ac:dyDescent="0.25">
      <c r="A722" s="91" t="s">
        <v>930</v>
      </c>
      <c r="B722" s="92" t="s">
        <v>266</v>
      </c>
      <c r="C722" s="91" t="s">
        <v>930</v>
      </c>
      <c r="D722" s="91" t="s">
        <v>256</v>
      </c>
      <c r="E722" s="93">
        <v>34466</v>
      </c>
      <c r="F722" s="94">
        <f t="shared" ca="1" si="22"/>
        <v>22</v>
      </c>
      <c r="G722" s="95" t="s">
        <v>257</v>
      </c>
      <c r="H722" s="96">
        <v>86320</v>
      </c>
      <c r="I722" s="97">
        <v>4</v>
      </c>
    </row>
    <row r="723" spans="1:9" ht="13.5" x14ac:dyDescent="0.25">
      <c r="A723" s="91" t="s">
        <v>930</v>
      </c>
      <c r="B723" s="92" t="s">
        <v>285</v>
      </c>
      <c r="C723" s="91" t="s">
        <v>930</v>
      </c>
      <c r="D723" s="91" t="s">
        <v>247</v>
      </c>
      <c r="E723" s="93">
        <v>34516</v>
      </c>
      <c r="F723" s="94">
        <f t="shared" ca="1" si="22"/>
        <v>22</v>
      </c>
      <c r="G723" s="95"/>
      <c r="H723" s="96">
        <v>45030</v>
      </c>
      <c r="I723" s="97">
        <v>3</v>
      </c>
    </row>
    <row r="724" spans="1:9" ht="13.5" x14ac:dyDescent="0.25">
      <c r="A724" s="91" t="s">
        <v>930</v>
      </c>
      <c r="B724" s="92" t="s">
        <v>285</v>
      </c>
      <c r="C724" s="91" t="s">
        <v>930</v>
      </c>
      <c r="D724" s="91" t="s">
        <v>256</v>
      </c>
      <c r="E724" s="93">
        <v>34715</v>
      </c>
      <c r="F724" s="94">
        <f t="shared" ca="1" si="22"/>
        <v>21</v>
      </c>
      <c r="G724" s="95" t="s">
        <v>262</v>
      </c>
      <c r="H724" s="96">
        <v>64470</v>
      </c>
      <c r="I724" s="97">
        <v>5</v>
      </c>
    </row>
    <row r="725" spans="1:9" ht="13.5" x14ac:dyDescent="0.25">
      <c r="A725" s="91" t="s">
        <v>930</v>
      </c>
      <c r="B725" s="92" t="s">
        <v>280</v>
      </c>
      <c r="C725" s="91" t="s">
        <v>930</v>
      </c>
      <c r="D725" s="91" t="s">
        <v>261</v>
      </c>
      <c r="E725" s="93">
        <v>34743</v>
      </c>
      <c r="F725" s="94">
        <f t="shared" ca="1" si="22"/>
        <v>21</v>
      </c>
      <c r="G725" s="95" t="s">
        <v>276</v>
      </c>
      <c r="H725" s="96">
        <v>46105</v>
      </c>
      <c r="I725" s="97">
        <v>5</v>
      </c>
    </row>
    <row r="726" spans="1:9" ht="13.5" x14ac:dyDescent="0.25">
      <c r="A726" s="91" t="s">
        <v>930</v>
      </c>
      <c r="B726" s="92" t="s">
        <v>251</v>
      </c>
      <c r="C726" s="91" t="s">
        <v>930</v>
      </c>
      <c r="D726" s="91" t="s">
        <v>256</v>
      </c>
      <c r="E726" s="93">
        <v>34770</v>
      </c>
      <c r="F726" s="94">
        <f t="shared" ca="1" si="22"/>
        <v>21</v>
      </c>
      <c r="G726" s="95" t="s">
        <v>283</v>
      </c>
      <c r="H726" s="96">
        <v>48410</v>
      </c>
      <c r="I726" s="97">
        <v>5</v>
      </c>
    </row>
    <row r="727" spans="1:9" ht="13.5" x14ac:dyDescent="0.25">
      <c r="A727" s="91" t="s">
        <v>930</v>
      </c>
      <c r="B727" s="92" t="s">
        <v>245</v>
      </c>
      <c r="C727" s="91" t="s">
        <v>930</v>
      </c>
      <c r="D727" s="91" t="s">
        <v>247</v>
      </c>
      <c r="E727" s="93">
        <v>34883</v>
      </c>
      <c r="F727" s="94">
        <f t="shared" ca="1" si="22"/>
        <v>21</v>
      </c>
      <c r="G727" s="95"/>
      <c r="H727" s="96">
        <v>58250</v>
      </c>
      <c r="I727" s="97">
        <v>2</v>
      </c>
    </row>
    <row r="728" spans="1:9" ht="13.5" x14ac:dyDescent="0.25">
      <c r="A728" s="91" t="s">
        <v>930</v>
      </c>
      <c r="B728" s="92" t="s">
        <v>280</v>
      </c>
      <c r="C728" s="91" t="s">
        <v>930</v>
      </c>
      <c r="D728" s="91" t="s">
        <v>256</v>
      </c>
      <c r="E728" s="93">
        <v>34933</v>
      </c>
      <c r="F728" s="94">
        <f t="shared" ca="1" si="22"/>
        <v>21</v>
      </c>
      <c r="G728" s="95" t="s">
        <v>276</v>
      </c>
      <c r="H728" s="96">
        <v>77680</v>
      </c>
      <c r="I728" s="97">
        <v>3</v>
      </c>
    </row>
    <row r="729" spans="1:9" ht="13.5" x14ac:dyDescent="0.25">
      <c r="A729" s="91" t="s">
        <v>930</v>
      </c>
      <c r="B729" s="92" t="s">
        <v>271</v>
      </c>
      <c r="C729" s="91" t="s">
        <v>930</v>
      </c>
      <c r="D729" s="91" t="s">
        <v>256</v>
      </c>
      <c r="E729" s="93">
        <v>35020</v>
      </c>
      <c r="F729" s="94">
        <f t="shared" ca="1" si="22"/>
        <v>20</v>
      </c>
      <c r="G729" s="95" t="s">
        <v>276</v>
      </c>
      <c r="H729" s="96">
        <v>61850</v>
      </c>
      <c r="I729" s="97">
        <v>2</v>
      </c>
    </row>
    <row r="730" spans="1:9" ht="13.5" x14ac:dyDescent="0.25">
      <c r="A730" s="91" t="s">
        <v>930</v>
      </c>
      <c r="B730" s="92" t="s">
        <v>251</v>
      </c>
      <c r="C730" s="91" t="s">
        <v>930</v>
      </c>
      <c r="D730" s="91" t="s">
        <v>261</v>
      </c>
      <c r="E730" s="93">
        <v>35055</v>
      </c>
      <c r="F730" s="94">
        <f t="shared" ca="1" si="22"/>
        <v>20</v>
      </c>
      <c r="G730" s="95" t="s">
        <v>267</v>
      </c>
      <c r="H730" s="96">
        <v>19825</v>
      </c>
      <c r="I730" s="97">
        <v>2</v>
      </c>
    </row>
    <row r="731" spans="1:9" ht="13.5" x14ac:dyDescent="0.25">
      <c r="A731" s="91" t="s">
        <v>930</v>
      </c>
      <c r="B731" s="92" t="s">
        <v>266</v>
      </c>
      <c r="C731" s="91" t="s">
        <v>930</v>
      </c>
      <c r="D731" s="91" t="s">
        <v>252</v>
      </c>
      <c r="E731" s="93">
        <v>35148</v>
      </c>
      <c r="F731" s="94">
        <f t="shared" ca="1" si="22"/>
        <v>20</v>
      </c>
      <c r="G731" s="95"/>
      <c r="H731" s="96">
        <v>32536</v>
      </c>
      <c r="I731" s="97">
        <v>2</v>
      </c>
    </row>
    <row r="732" spans="1:9" ht="13.5" x14ac:dyDescent="0.25">
      <c r="A732" s="91" t="s">
        <v>930</v>
      </c>
      <c r="B732" s="92" t="s">
        <v>285</v>
      </c>
      <c r="C732" s="91" t="s">
        <v>930</v>
      </c>
      <c r="D732" s="91" t="s">
        <v>261</v>
      </c>
      <c r="E732" s="93">
        <v>35152</v>
      </c>
      <c r="F732" s="94">
        <f t="shared" ca="1" si="22"/>
        <v>20</v>
      </c>
      <c r="G732" s="95" t="s">
        <v>283</v>
      </c>
      <c r="H732" s="96">
        <v>26185</v>
      </c>
      <c r="I732" s="97">
        <v>5</v>
      </c>
    </row>
    <row r="733" spans="1:9" ht="13.5" x14ac:dyDescent="0.25">
      <c r="A733" s="91" t="s">
        <v>930</v>
      </c>
      <c r="B733" s="92" t="s">
        <v>285</v>
      </c>
      <c r="C733" s="91" t="s">
        <v>930</v>
      </c>
      <c r="D733" s="91" t="s">
        <v>256</v>
      </c>
      <c r="E733" s="93">
        <v>35239</v>
      </c>
      <c r="F733" s="94">
        <f t="shared" ca="1" si="22"/>
        <v>20</v>
      </c>
      <c r="G733" s="95" t="s">
        <v>283</v>
      </c>
      <c r="H733" s="96">
        <v>35460</v>
      </c>
      <c r="I733" s="97">
        <v>1</v>
      </c>
    </row>
    <row r="734" spans="1:9" ht="13.5" x14ac:dyDescent="0.25">
      <c r="A734" s="91" t="s">
        <v>930</v>
      </c>
      <c r="B734" s="92" t="s">
        <v>285</v>
      </c>
      <c r="C734" s="91" t="s">
        <v>930</v>
      </c>
      <c r="D734" s="91" t="s">
        <v>256</v>
      </c>
      <c r="E734" s="93">
        <v>35309</v>
      </c>
      <c r="F734" s="94">
        <f t="shared" ca="1" si="22"/>
        <v>20</v>
      </c>
      <c r="G734" s="95" t="s">
        <v>262</v>
      </c>
      <c r="H734" s="96">
        <v>71970</v>
      </c>
      <c r="I734" s="97">
        <v>4</v>
      </c>
    </row>
    <row r="735" spans="1:9" ht="13.5" x14ac:dyDescent="0.25">
      <c r="A735" s="91" t="s">
        <v>930</v>
      </c>
      <c r="B735" s="92" t="s">
        <v>285</v>
      </c>
      <c r="C735" s="91" t="s">
        <v>930</v>
      </c>
      <c r="D735" s="91" t="s">
        <v>256</v>
      </c>
      <c r="E735" s="93">
        <v>35362</v>
      </c>
      <c r="F735" s="94">
        <f t="shared" ca="1" si="22"/>
        <v>20</v>
      </c>
      <c r="G735" s="95" t="s">
        <v>262</v>
      </c>
      <c r="H735" s="96">
        <v>65320</v>
      </c>
      <c r="I735" s="97">
        <v>5</v>
      </c>
    </row>
    <row r="736" spans="1:9" ht="13.5" x14ac:dyDescent="0.25">
      <c r="A736" s="91" t="s">
        <v>930</v>
      </c>
      <c r="B736" s="92" t="s">
        <v>251</v>
      </c>
      <c r="C736" s="91" t="s">
        <v>930</v>
      </c>
      <c r="D736" s="91" t="s">
        <v>256</v>
      </c>
      <c r="E736" s="93">
        <v>35533</v>
      </c>
      <c r="F736" s="94">
        <f t="shared" ca="1" si="22"/>
        <v>19</v>
      </c>
      <c r="G736" s="95" t="s">
        <v>283</v>
      </c>
      <c r="H736" s="96">
        <v>47630</v>
      </c>
      <c r="I736" s="97">
        <v>3</v>
      </c>
    </row>
    <row r="737" spans="1:9" ht="13.5" x14ac:dyDescent="0.25">
      <c r="A737" s="91" t="s">
        <v>930</v>
      </c>
      <c r="B737" s="92" t="s">
        <v>285</v>
      </c>
      <c r="C737" s="91" t="s">
        <v>930</v>
      </c>
      <c r="D737" s="91" t="s">
        <v>261</v>
      </c>
      <c r="E737" s="93">
        <v>35608</v>
      </c>
      <c r="F737" s="94">
        <f t="shared" ca="1" si="22"/>
        <v>19</v>
      </c>
      <c r="G737" s="95" t="s">
        <v>257</v>
      </c>
      <c r="H737" s="96">
        <v>17205</v>
      </c>
      <c r="I737" s="97">
        <v>5</v>
      </c>
    </row>
    <row r="738" spans="1:9" ht="13.5" x14ac:dyDescent="0.25">
      <c r="A738" s="91" t="s">
        <v>930</v>
      </c>
      <c r="B738" s="92" t="s">
        <v>285</v>
      </c>
      <c r="C738" s="91" t="s">
        <v>930</v>
      </c>
      <c r="D738" s="91" t="s">
        <v>256</v>
      </c>
      <c r="E738" s="93">
        <v>35646</v>
      </c>
      <c r="F738" s="94">
        <f t="shared" ca="1" si="22"/>
        <v>19</v>
      </c>
      <c r="G738" s="95" t="s">
        <v>276</v>
      </c>
      <c r="H738" s="96">
        <v>49930</v>
      </c>
      <c r="I738" s="97">
        <v>1</v>
      </c>
    </row>
    <row r="739" spans="1:9" ht="13.5" x14ac:dyDescent="0.25">
      <c r="A739" s="91" t="s">
        <v>930</v>
      </c>
      <c r="B739" s="92" t="s">
        <v>285</v>
      </c>
      <c r="C739" s="91" t="s">
        <v>930</v>
      </c>
      <c r="D739" s="91" t="s">
        <v>256</v>
      </c>
      <c r="E739" s="93">
        <v>35657</v>
      </c>
      <c r="F739" s="94">
        <f t="shared" ca="1" si="22"/>
        <v>19</v>
      </c>
      <c r="G739" s="95" t="s">
        <v>257</v>
      </c>
      <c r="H739" s="96">
        <v>63060</v>
      </c>
      <c r="I739" s="97">
        <v>4</v>
      </c>
    </row>
    <row r="740" spans="1:9" ht="13.5" x14ac:dyDescent="0.25">
      <c r="A740" s="91" t="s">
        <v>930</v>
      </c>
      <c r="B740" s="92" t="s">
        <v>251</v>
      </c>
      <c r="C740" s="91" t="s">
        <v>930</v>
      </c>
      <c r="D740" s="91" t="s">
        <v>256</v>
      </c>
      <c r="E740" s="93">
        <v>35699</v>
      </c>
      <c r="F740" s="94">
        <f t="shared" ref="F740:F771" ca="1" si="23">DATEDIF(E740,TODAY(),"Y")</f>
        <v>19</v>
      </c>
      <c r="G740" s="95" t="s">
        <v>283</v>
      </c>
      <c r="H740" s="96">
        <v>78710</v>
      </c>
      <c r="I740" s="97">
        <v>2</v>
      </c>
    </row>
    <row r="741" spans="1:9" ht="13.5" x14ac:dyDescent="0.25">
      <c r="A741" s="91" t="s">
        <v>930</v>
      </c>
      <c r="B741" s="92" t="s">
        <v>266</v>
      </c>
      <c r="C741" s="91" t="s">
        <v>930</v>
      </c>
      <c r="D741" s="91" t="s">
        <v>247</v>
      </c>
      <c r="E741" s="93">
        <v>35755</v>
      </c>
      <c r="F741" s="94">
        <f t="shared" ca="1" si="23"/>
        <v>18</v>
      </c>
      <c r="G741" s="95"/>
      <c r="H741" s="96">
        <v>77136</v>
      </c>
      <c r="I741" s="97">
        <v>5</v>
      </c>
    </row>
    <row r="742" spans="1:9" ht="13.5" x14ac:dyDescent="0.25">
      <c r="A742" s="91" t="s">
        <v>930</v>
      </c>
      <c r="B742" s="92" t="s">
        <v>271</v>
      </c>
      <c r="C742" s="91" t="s">
        <v>930</v>
      </c>
      <c r="D742" s="91" t="s">
        <v>247</v>
      </c>
      <c r="E742" s="93">
        <v>35789</v>
      </c>
      <c r="F742" s="94">
        <f t="shared" ca="1" si="23"/>
        <v>18</v>
      </c>
      <c r="G742" s="95"/>
      <c r="H742" s="96">
        <v>28270</v>
      </c>
      <c r="I742" s="97">
        <v>5</v>
      </c>
    </row>
    <row r="743" spans="1:9" ht="13.5" x14ac:dyDescent="0.25">
      <c r="A743" s="91" t="s">
        <v>930</v>
      </c>
      <c r="B743" s="92" t="s">
        <v>266</v>
      </c>
      <c r="C743" s="91" t="s">
        <v>930</v>
      </c>
      <c r="D743" s="91" t="s">
        <v>247</v>
      </c>
      <c r="E743" s="93">
        <v>35831</v>
      </c>
      <c r="F743" s="94">
        <f t="shared" ca="1" si="23"/>
        <v>18</v>
      </c>
      <c r="G743" s="95"/>
      <c r="H743" s="96">
        <v>25530</v>
      </c>
      <c r="I743" s="97">
        <v>3</v>
      </c>
    </row>
    <row r="744" spans="1:9" ht="13.5" x14ac:dyDescent="0.25">
      <c r="A744" s="91" t="s">
        <v>930</v>
      </c>
      <c r="B744" s="92" t="s">
        <v>266</v>
      </c>
      <c r="C744" s="91" t="s">
        <v>930</v>
      </c>
      <c r="D744" s="91" t="s">
        <v>247</v>
      </c>
      <c r="E744" s="93">
        <v>36143</v>
      </c>
      <c r="F744" s="94">
        <f t="shared" ca="1" si="23"/>
        <v>17</v>
      </c>
      <c r="G744" s="95"/>
      <c r="H744" s="96">
        <v>49090</v>
      </c>
      <c r="I744" s="97">
        <v>4</v>
      </c>
    </row>
    <row r="745" spans="1:9" ht="13.5" x14ac:dyDescent="0.25">
      <c r="A745" s="91" t="s">
        <v>930</v>
      </c>
      <c r="B745" s="92" t="s">
        <v>251</v>
      </c>
      <c r="C745" s="91" t="s">
        <v>930</v>
      </c>
      <c r="D745" s="91" t="s">
        <v>256</v>
      </c>
      <c r="E745" s="93">
        <v>36185</v>
      </c>
      <c r="F745" s="94">
        <f t="shared" ca="1" si="23"/>
        <v>17</v>
      </c>
      <c r="G745" s="95" t="s">
        <v>276</v>
      </c>
      <c r="H745" s="96">
        <v>60300</v>
      </c>
      <c r="I745" s="97">
        <v>2</v>
      </c>
    </row>
    <row r="746" spans="1:9" ht="13.5" x14ac:dyDescent="0.25">
      <c r="A746" s="91" t="s">
        <v>930</v>
      </c>
      <c r="B746" s="92" t="s">
        <v>285</v>
      </c>
      <c r="C746" s="91" t="s">
        <v>930</v>
      </c>
      <c r="D746" s="91" t="s">
        <v>256</v>
      </c>
      <c r="E746" s="93">
        <v>36500</v>
      </c>
      <c r="F746" s="94">
        <f t="shared" ca="1" si="23"/>
        <v>16</v>
      </c>
      <c r="G746" s="95" t="s">
        <v>283</v>
      </c>
      <c r="H746" s="96">
        <v>48010</v>
      </c>
      <c r="I746" s="97">
        <v>3</v>
      </c>
    </row>
    <row r="747" spans="1:9" ht="13.5" x14ac:dyDescent="0.25">
      <c r="A747" s="91" t="s">
        <v>930</v>
      </c>
      <c r="B747" s="92" t="s">
        <v>285</v>
      </c>
      <c r="C747" s="91" t="s">
        <v>930</v>
      </c>
      <c r="D747" s="91" t="s">
        <v>256</v>
      </c>
      <c r="E747" s="93">
        <v>37018</v>
      </c>
      <c r="F747" s="94">
        <f t="shared" ca="1" si="23"/>
        <v>15</v>
      </c>
      <c r="G747" s="95" t="s">
        <v>262</v>
      </c>
      <c r="H747" s="96">
        <v>48280</v>
      </c>
      <c r="I747" s="97">
        <v>4</v>
      </c>
    </row>
    <row r="748" spans="1:9" ht="13.5" x14ac:dyDescent="0.25">
      <c r="A748" s="91" t="s">
        <v>930</v>
      </c>
      <c r="B748" s="92" t="s">
        <v>245</v>
      </c>
      <c r="C748" s="91" t="s">
        <v>930</v>
      </c>
      <c r="D748" s="91" t="s">
        <v>256</v>
      </c>
      <c r="E748" s="93">
        <v>37037</v>
      </c>
      <c r="F748" s="94">
        <f t="shared" ca="1" si="23"/>
        <v>15</v>
      </c>
      <c r="G748" s="95" t="s">
        <v>283</v>
      </c>
      <c r="H748" s="96">
        <v>81340</v>
      </c>
      <c r="I748" s="97">
        <v>2</v>
      </c>
    </row>
    <row r="749" spans="1:9" ht="13.5" x14ac:dyDescent="0.25">
      <c r="A749" s="91" t="s">
        <v>930</v>
      </c>
      <c r="B749" s="92" t="s">
        <v>280</v>
      </c>
      <c r="C749" s="91" t="s">
        <v>930</v>
      </c>
      <c r="D749" s="91" t="s">
        <v>247</v>
      </c>
      <c r="E749" s="93">
        <v>37128</v>
      </c>
      <c r="F749" s="94">
        <f t="shared" ca="1" si="23"/>
        <v>15</v>
      </c>
      <c r="G749" s="95"/>
      <c r="H749" s="96">
        <v>32880</v>
      </c>
      <c r="I749" s="97">
        <v>3</v>
      </c>
    </row>
    <row r="750" spans="1:9" ht="13.5" x14ac:dyDescent="0.25">
      <c r="A750" s="91" t="s">
        <v>930</v>
      </c>
      <c r="B750" s="92" t="s">
        <v>251</v>
      </c>
      <c r="C750" s="91" t="s">
        <v>930</v>
      </c>
      <c r="D750" s="91" t="s">
        <v>256</v>
      </c>
      <c r="E750" s="93">
        <v>37316</v>
      </c>
      <c r="F750" s="94">
        <f t="shared" ca="1" si="23"/>
        <v>14</v>
      </c>
      <c r="G750" s="95" t="s">
        <v>257</v>
      </c>
      <c r="H750" s="96">
        <v>44530</v>
      </c>
      <c r="I750" s="97">
        <v>2</v>
      </c>
    </row>
    <row r="751" spans="1:9" ht="13.5" x14ac:dyDescent="0.25">
      <c r="A751" s="91" t="s">
        <v>930</v>
      </c>
      <c r="B751" s="92" t="s">
        <v>245</v>
      </c>
      <c r="C751" s="91" t="s">
        <v>930</v>
      </c>
      <c r="D751" s="91" t="s">
        <v>252</v>
      </c>
      <c r="E751" s="93">
        <v>37336</v>
      </c>
      <c r="F751" s="94">
        <f t="shared" ca="1" si="23"/>
        <v>14</v>
      </c>
      <c r="G751" s="95"/>
      <c r="H751" s="96">
        <v>37344</v>
      </c>
      <c r="I751" s="97">
        <v>2</v>
      </c>
    </row>
    <row r="752" spans="1:9" ht="13.5" x14ac:dyDescent="0.25">
      <c r="A752" s="91" t="s">
        <v>930</v>
      </c>
      <c r="B752" s="92" t="s">
        <v>280</v>
      </c>
      <c r="C752" s="91" t="s">
        <v>930</v>
      </c>
      <c r="D752" s="91" t="s">
        <v>256</v>
      </c>
      <c r="E752" s="93">
        <v>37861</v>
      </c>
      <c r="F752" s="94">
        <f t="shared" ca="1" si="23"/>
        <v>13</v>
      </c>
      <c r="G752" s="95" t="s">
        <v>267</v>
      </c>
      <c r="H752" s="96">
        <v>25690</v>
      </c>
      <c r="I752" s="97">
        <v>2</v>
      </c>
    </row>
    <row r="753" spans="1:9" ht="13.5" x14ac:dyDescent="0.25">
      <c r="A753" s="91" t="s">
        <v>930</v>
      </c>
      <c r="B753" s="92" t="s">
        <v>285</v>
      </c>
      <c r="C753" s="91" t="s">
        <v>930</v>
      </c>
      <c r="D753" s="91" t="s">
        <v>256</v>
      </c>
      <c r="E753" s="93">
        <v>37973</v>
      </c>
      <c r="F753" s="94">
        <f t="shared" ca="1" si="23"/>
        <v>12</v>
      </c>
      <c r="G753" s="95" t="s">
        <v>257</v>
      </c>
      <c r="H753" s="96">
        <v>24980</v>
      </c>
      <c r="I753" s="97">
        <v>3</v>
      </c>
    </row>
    <row r="754" spans="1:9" ht="13.5" x14ac:dyDescent="0.25">
      <c r="A754" s="91" t="s">
        <v>930</v>
      </c>
      <c r="B754" s="92" t="s">
        <v>280</v>
      </c>
      <c r="C754" s="91" t="s">
        <v>930</v>
      </c>
      <c r="D754" s="91" t="s">
        <v>256</v>
      </c>
      <c r="E754" s="93">
        <v>38131</v>
      </c>
      <c r="F754" s="94">
        <f t="shared" ca="1" si="23"/>
        <v>12</v>
      </c>
      <c r="G754" s="95" t="s">
        <v>262</v>
      </c>
      <c r="H754" s="96">
        <v>68860</v>
      </c>
      <c r="I754" s="97">
        <v>2</v>
      </c>
    </row>
    <row r="755" spans="1:9" ht="13.5" x14ac:dyDescent="0.25">
      <c r="A755" s="91" t="s">
        <v>930</v>
      </c>
      <c r="B755" s="92" t="s">
        <v>280</v>
      </c>
      <c r="C755" s="91" t="s">
        <v>930</v>
      </c>
      <c r="D755" s="91" t="s">
        <v>261</v>
      </c>
      <c r="E755" s="93">
        <v>38225</v>
      </c>
      <c r="F755" s="94">
        <f t="shared" ca="1" si="23"/>
        <v>12</v>
      </c>
      <c r="G755" s="95" t="s">
        <v>276</v>
      </c>
      <c r="H755" s="96">
        <v>49080</v>
      </c>
      <c r="I755" s="97">
        <v>5</v>
      </c>
    </row>
    <row r="756" spans="1:9" ht="13.5" x14ac:dyDescent="0.25">
      <c r="A756" s="91" t="s">
        <v>930</v>
      </c>
      <c r="B756" s="92" t="s">
        <v>245</v>
      </c>
      <c r="C756" s="91" t="s">
        <v>930</v>
      </c>
      <c r="D756" s="91" t="s">
        <v>256</v>
      </c>
      <c r="E756" s="93">
        <v>38292</v>
      </c>
      <c r="F756" s="94">
        <f t="shared" ca="1" si="23"/>
        <v>12</v>
      </c>
      <c r="G756" s="95" t="s">
        <v>257</v>
      </c>
      <c r="H756" s="96">
        <v>79380</v>
      </c>
      <c r="I756" s="97">
        <v>5</v>
      </c>
    </row>
    <row r="757" spans="1:9" ht="13.5" x14ac:dyDescent="0.25">
      <c r="A757" s="91" t="s">
        <v>930</v>
      </c>
      <c r="B757" s="92" t="s">
        <v>280</v>
      </c>
      <c r="C757" s="91" t="s">
        <v>930</v>
      </c>
      <c r="D757" s="91" t="s">
        <v>256</v>
      </c>
      <c r="E757" s="93">
        <v>38369</v>
      </c>
      <c r="F757" s="94">
        <f t="shared" ca="1" si="23"/>
        <v>11</v>
      </c>
      <c r="G757" s="95" t="s">
        <v>257</v>
      </c>
      <c r="H757" s="96">
        <v>22820</v>
      </c>
      <c r="I757" s="97">
        <v>5</v>
      </c>
    </row>
    <row r="758" spans="1:9" ht="13.5" x14ac:dyDescent="0.25">
      <c r="A758" s="91" t="s">
        <v>930</v>
      </c>
      <c r="B758" s="92" t="s">
        <v>245</v>
      </c>
      <c r="C758" s="91" t="s">
        <v>930</v>
      </c>
      <c r="D758" s="91" t="s">
        <v>247</v>
      </c>
      <c r="E758" s="93">
        <v>38418</v>
      </c>
      <c r="F758" s="94">
        <f t="shared" ca="1" si="23"/>
        <v>11</v>
      </c>
      <c r="G758" s="95"/>
      <c r="H758" s="96">
        <v>86040</v>
      </c>
      <c r="I758" s="97">
        <v>5</v>
      </c>
    </row>
    <row r="759" spans="1:9" ht="13.5" x14ac:dyDescent="0.25">
      <c r="A759" s="91" t="s">
        <v>930</v>
      </c>
      <c r="B759" s="92" t="s">
        <v>285</v>
      </c>
      <c r="C759" s="91" t="s">
        <v>930</v>
      </c>
      <c r="D759" s="91" t="s">
        <v>256</v>
      </c>
      <c r="E759" s="93">
        <v>38418</v>
      </c>
      <c r="F759" s="94">
        <f t="shared" ca="1" si="23"/>
        <v>11</v>
      </c>
      <c r="G759" s="95" t="s">
        <v>257</v>
      </c>
      <c r="H759" s="96">
        <v>82370</v>
      </c>
      <c r="I759" s="97">
        <v>5</v>
      </c>
    </row>
    <row r="760" spans="1:9" ht="13.5" x14ac:dyDescent="0.25">
      <c r="A760" s="91" t="s">
        <v>930</v>
      </c>
      <c r="B760" s="92" t="s">
        <v>271</v>
      </c>
      <c r="C760" s="91" t="s">
        <v>930</v>
      </c>
      <c r="D760" s="91" t="s">
        <v>256</v>
      </c>
      <c r="E760" s="93">
        <v>38708</v>
      </c>
      <c r="F760" s="94">
        <f t="shared" ca="1" si="23"/>
        <v>10</v>
      </c>
      <c r="G760" s="95" t="s">
        <v>283</v>
      </c>
      <c r="H760" s="96">
        <v>34990</v>
      </c>
      <c r="I760" s="97">
        <v>3</v>
      </c>
    </row>
    <row r="761" spans="1:9" ht="13.5" x14ac:dyDescent="0.25">
      <c r="A761" s="91" t="s">
        <v>930</v>
      </c>
      <c r="B761" s="92" t="s">
        <v>285</v>
      </c>
      <c r="C761" s="91" t="s">
        <v>930</v>
      </c>
      <c r="D761" s="91" t="s">
        <v>247</v>
      </c>
      <c r="E761" s="93">
        <v>38925</v>
      </c>
      <c r="F761" s="94">
        <f t="shared" ca="1" si="23"/>
        <v>10</v>
      </c>
      <c r="G761" s="95"/>
      <c r="H761" s="96">
        <v>80729</v>
      </c>
      <c r="I761" s="97">
        <v>3</v>
      </c>
    </row>
    <row r="762" spans="1:9" ht="13.5" x14ac:dyDescent="0.25">
      <c r="A762" s="91" t="s">
        <v>930</v>
      </c>
      <c r="B762" s="92" t="s">
        <v>266</v>
      </c>
      <c r="C762" s="91" t="s">
        <v>930</v>
      </c>
      <c r="D762" s="91" t="s">
        <v>247</v>
      </c>
      <c r="E762" s="99">
        <v>39024</v>
      </c>
      <c r="F762" s="94">
        <f t="shared" ca="1" si="23"/>
        <v>10</v>
      </c>
      <c r="G762" s="95"/>
      <c r="H762" s="96">
        <v>47280</v>
      </c>
      <c r="I762" s="97">
        <v>1</v>
      </c>
    </row>
    <row r="763" spans="1:9" ht="13.5" x14ac:dyDescent="0.25">
      <c r="A763" s="91" t="s">
        <v>930</v>
      </c>
      <c r="B763" s="92" t="s">
        <v>285</v>
      </c>
      <c r="C763" s="91" t="s">
        <v>930</v>
      </c>
      <c r="D763" s="91" t="s">
        <v>247</v>
      </c>
      <c r="E763" s="93">
        <v>39213</v>
      </c>
      <c r="F763" s="94">
        <f t="shared" ca="1" si="23"/>
        <v>9</v>
      </c>
      <c r="G763" s="95"/>
      <c r="H763" s="96">
        <v>46570</v>
      </c>
      <c r="I763" s="97">
        <v>4</v>
      </c>
    </row>
    <row r="764" spans="1:9" ht="13.5" x14ac:dyDescent="0.25">
      <c r="A764" s="91" t="s">
        <v>930</v>
      </c>
      <c r="B764" s="92" t="s">
        <v>266</v>
      </c>
      <c r="C764" s="91" t="s">
        <v>930</v>
      </c>
      <c r="D764" s="91" t="s">
        <v>256</v>
      </c>
      <c r="E764" s="99">
        <v>39226</v>
      </c>
      <c r="F764" s="94">
        <f t="shared" ca="1" si="23"/>
        <v>9</v>
      </c>
      <c r="G764" s="95" t="s">
        <v>283</v>
      </c>
      <c r="H764" s="96">
        <v>70730</v>
      </c>
      <c r="I764" s="97">
        <v>1</v>
      </c>
    </row>
    <row r="765" spans="1:9" ht="13.5" x14ac:dyDescent="0.25">
      <c r="A765" s="91" t="s">
        <v>930</v>
      </c>
      <c r="B765" s="92" t="s">
        <v>285</v>
      </c>
      <c r="C765" s="91" t="s">
        <v>930</v>
      </c>
      <c r="D765" s="91" t="s">
        <v>247</v>
      </c>
      <c r="E765" s="99">
        <v>39253</v>
      </c>
      <c r="F765" s="94">
        <f t="shared" ca="1" si="23"/>
        <v>9</v>
      </c>
      <c r="G765" s="95"/>
      <c r="H765" s="96">
        <v>55510</v>
      </c>
      <c r="I765" s="97">
        <v>3</v>
      </c>
    </row>
    <row r="766" spans="1:9" ht="13.5" x14ac:dyDescent="0.25">
      <c r="A766" s="91" t="s">
        <v>930</v>
      </c>
      <c r="B766" s="92" t="s">
        <v>285</v>
      </c>
      <c r="C766" s="91" t="s">
        <v>930</v>
      </c>
      <c r="D766" s="91" t="s">
        <v>256</v>
      </c>
      <c r="E766" s="93">
        <v>39258</v>
      </c>
      <c r="F766" s="94">
        <f t="shared" ca="1" si="23"/>
        <v>9</v>
      </c>
      <c r="G766" s="95" t="s">
        <v>257</v>
      </c>
      <c r="H766" s="96">
        <v>46390</v>
      </c>
      <c r="I766" s="97">
        <v>5</v>
      </c>
    </row>
    <row r="767" spans="1:9" ht="13.5" x14ac:dyDescent="0.25">
      <c r="A767" s="91" t="s">
        <v>930</v>
      </c>
      <c r="B767" s="92" t="s">
        <v>271</v>
      </c>
      <c r="C767" s="91" t="s">
        <v>930</v>
      </c>
      <c r="D767" s="91" t="s">
        <v>256</v>
      </c>
      <c r="E767" s="93">
        <v>39327</v>
      </c>
      <c r="F767" s="94">
        <f t="shared" ca="1" si="23"/>
        <v>9</v>
      </c>
      <c r="G767" s="95" t="s">
        <v>257</v>
      </c>
      <c r="H767" s="96">
        <v>86640</v>
      </c>
      <c r="I767" s="97">
        <v>3</v>
      </c>
    </row>
    <row r="768" spans="1:9" ht="13.5" x14ac:dyDescent="0.25">
      <c r="A768" s="91" t="s">
        <v>930</v>
      </c>
      <c r="B768" s="92" t="s">
        <v>251</v>
      </c>
      <c r="C768" s="91" t="s">
        <v>930</v>
      </c>
      <c r="D768" s="91" t="s">
        <v>247</v>
      </c>
      <c r="E768" s="99">
        <v>39328</v>
      </c>
      <c r="F768" s="94">
        <f t="shared" ca="1" si="23"/>
        <v>9</v>
      </c>
      <c r="G768" s="95"/>
      <c r="H768" s="96">
        <v>42990</v>
      </c>
      <c r="I768" s="97">
        <v>4</v>
      </c>
    </row>
    <row r="769" spans="1:9" ht="13.5" x14ac:dyDescent="0.25">
      <c r="A769" s="91" t="s">
        <v>930</v>
      </c>
      <c r="B769" s="92" t="s">
        <v>251</v>
      </c>
      <c r="C769" s="91" t="s">
        <v>930</v>
      </c>
      <c r="D769" s="91" t="s">
        <v>247</v>
      </c>
      <c r="E769" s="99">
        <v>39328</v>
      </c>
      <c r="F769" s="94">
        <f t="shared" ca="1" si="23"/>
        <v>9</v>
      </c>
      <c r="G769" s="95"/>
      <c r="H769" s="96">
        <v>42990</v>
      </c>
      <c r="I769" s="97">
        <v>4</v>
      </c>
    </row>
    <row r="770" spans="1:9" ht="13.5" x14ac:dyDescent="0.25">
      <c r="A770" s="91" t="s">
        <v>930</v>
      </c>
      <c r="B770" s="92" t="s">
        <v>271</v>
      </c>
      <c r="C770" s="91" t="s">
        <v>930</v>
      </c>
      <c r="D770" s="91" t="s">
        <v>256</v>
      </c>
      <c r="E770" s="99">
        <v>39370</v>
      </c>
      <c r="F770" s="94">
        <f t="shared" ca="1" si="23"/>
        <v>9</v>
      </c>
      <c r="G770" s="95" t="s">
        <v>257</v>
      </c>
      <c r="H770" s="96">
        <v>23030</v>
      </c>
      <c r="I770" s="97">
        <v>4</v>
      </c>
    </row>
    <row r="771" spans="1:9" ht="13.5" x14ac:dyDescent="0.25">
      <c r="A771" s="91" t="s">
        <v>930</v>
      </c>
      <c r="B771" s="92" t="s">
        <v>271</v>
      </c>
      <c r="C771" s="91" t="s">
        <v>930</v>
      </c>
      <c r="D771" s="91" t="s">
        <v>256</v>
      </c>
      <c r="E771" s="99">
        <v>39370</v>
      </c>
      <c r="F771" s="94">
        <f t="shared" ca="1" si="23"/>
        <v>9</v>
      </c>
      <c r="G771" s="95" t="s">
        <v>276</v>
      </c>
      <c r="H771" s="96">
        <v>40260</v>
      </c>
      <c r="I771" s="97">
        <v>5</v>
      </c>
    </row>
    <row r="772" spans="1:9" ht="13.5" x14ac:dyDescent="0.25">
      <c r="A772" s="98" t="s">
        <v>1056</v>
      </c>
      <c r="B772" s="92"/>
      <c r="C772" s="98"/>
      <c r="D772" s="91"/>
      <c r="E772" s="99"/>
      <c r="F772" s="94"/>
      <c r="G772" s="95"/>
      <c r="H772" s="96"/>
      <c r="I772" s="97"/>
    </row>
    <row r="773" spans="1:9" ht="13.5" x14ac:dyDescent="0.25">
      <c r="A773" s="91" t="s">
        <v>1025</v>
      </c>
      <c r="B773" s="92" t="s">
        <v>245</v>
      </c>
      <c r="C773" s="91" t="s">
        <v>1025</v>
      </c>
      <c r="D773" s="91" t="s">
        <v>247</v>
      </c>
      <c r="E773" s="93">
        <v>32077</v>
      </c>
      <c r="F773" s="94">
        <f ca="1">DATEDIF(E773,TODAY(),"Y")</f>
        <v>29</v>
      </c>
      <c r="G773" s="95"/>
      <c r="H773" s="96">
        <v>85510</v>
      </c>
      <c r="I773" s="97">
        <v>4</v>
      </c>
    </row>
    <row r="774" spans="1:9" ht="13.5" x14ac:dyDescent="0.25">
      <c r="A774" s="91" t="s">
        <v>1025</v>
      </c>
      <c r="B774" s="92" t="s">
        <v>271</v>
      </c>
      <c r="C774" s="91" t="s">
        <v>1025</v>
      </c>
      <c r="D774" s="91" t="s">
        <v>256</v>
      </c>
      <c r="E774" s="93">
        <v>35681</v>
      </c>
      <c r="F774" s="94">
        <f ca="1">DATEDIF(E774,TODAY(),"Y")</f>
        <v>19</v>
      </c>
      <c r="G774" s="95" t="s">
        <v>257</v>
      </c>
      <c r="H774" s="96">
        <v>63670</v>
      </c>
      <c r="I774" s="97">
        <v>5</v>
      </c>
    </row>
    <row r="775" spans="1:9" ht="13.5" x14ac:dyDescent="0.25">
      <c r="A775" s="91" t="s">
        <v>1025</v>
      </c>
      <c r="B775" s="92" t="s">
        <v>245</v>
      </c>
      <c r="C775" s="91" t="s">
        <v>1025</v>
      </c>
      <c r="D775" s="91" t="s">
        <v>256</v>
      </c>
      <c r="E775" s="93">
        <v>35763</v>
      </c>
      <c r="F775" s="94">
        <f ca="1">DATEDIF(E775,TODAY(),"Y")</f>
        <v>18</v>
      </c>
      <c r="G775" s="95" t="s">
        <v>276</v>
      </c>
      <c r="H775" s="96">
        <v>40680</v>
      </c>
      <c r="I775" s="97">
        <v>5</v>
      </c>
    </row>
    <row r="776" spans="1:9" ht="13.5" x14ac:dyDescent="0.25">
      <c r="A776" s="91" t="s">
        <v>1025</v>
      </c>
      <c r="B776" s="92" t="s">
        <v>266</v>
      </c>
      <c r="C776" s="91" t="s">
        <v>1025</v>
      </c>
      <c r="D776" s="91" t="s">
        <v>256</v>
      </c>
      <c r="E776" s="93">
        <v>36374</v>
      </c>
      <c r="F776" s="94">
        <f ca="1">DATEDIF(E776,TODAY(),"Y")</f>
        <v>17</v>
      </c>
      <c r="G776" s="95" t="s">
        <v>283</v>
      </c>
      <c r="H776" s="96">
        <v>42800</v>
      </c>
      <c r="I776" s="97">
        <v>5</v>
      </c>
    </row>
    <row r="777" spans="1:9" ht="13.5" x14ac:dyDescent="0.25">
      <c r="A777" s="91" t="s">
        <v>1025</v>
      </c>
      <c r="B777" s="92" t="s">
        <v>271</v>
      </c>
      <c r="C777" s="91" t="s">
        <v>1025</v>
      </c>
      <c r="D777" s="91" t="s">
        <v>247</v>
      </c>
      <c r="E777" s="93">
        <v>39409</v>
      </c>
      <c r="F777" s="94">
        <f ca="1">DATEDIF(E777,TODAY(),"Y")</f>
        <v>8</v>
      </c>
      <c r="G777" s="95"/>
      <c r="H777" s="96">
        <v>66132</v>
      </c>
      <c r="I777" s="97">
        <v>4</v>
      </c>
    </row>
    <row r="778" spans="1:9" ht="13.5" x14ac:dyDescent="0.25">
      <c r="A778" s="98" t="s">
        <v>1057</v>
      </c>
      <c r="B778" s="92"/>
      <c r="C778" s="98"/>
      <c r="D778" s="91"/>
      <c r="E778" s="93"/>
      <c r="F778" s="94"/>
      <c r="G778" s="95"/>
      <c r="H778" s="96"/>
      <c r="I778" s="97"/>
    </row>
    <row r="779" spans="1:9" ht="13.5" x14ac:dyDescent="0.25">
      <c r="A779" s="91" t="s">
        <v>1031</v>
      </c>
      <c r="B779" s="92" t="s">
        <v>285</v>
      </c>
      <c r="C779" s="91" t="s">
        <v>1031</v>
      </c>
      <c r="D779" s="91" t="s">
        <v>247</v>
      </c>
      <c r="E779" s="93">
        <v>32693</v>
      </c>
      <c r="F779" s="94">
        <f t="shared" ref="F779:F784" ca="1" si="24">DATEDIF(E779,TODAY(),"Y")</f>
        <v>27</v>
      </c>
      <c r="G779" s="95"/>
      <c r="H779" s="96">
        <v>60760</v>
      </c>
      <c r="I779" s="97">
        <v>2</v>
      </c>
    </row>
    <row r="780" spans="1:9" ht="13.5" x14ac:dyDescent="0.25">
      <c r="A780" s="91" t="s">
        <v>1031</v>
      </c>
      <c r="B780" s="92" t="s">
        <v>285</v>
      </c>
      <c r="C780" s="91" t="s">
        <v>1031</v>
      </c>
      <c r="D780" s="91" t="s">
        <v>247</v>
      </c>
      <c r="E780" s="93">
        <v>33215</v>
      </c>
      <c r="F780" s="94">
        <f t="shared" ca="1" si="24"/>
        <v>25</v>
      </c>
      <c r="G780" s="95"/>
      <c r="H780" s="96">
        <v>64720</v>
      </c>
      <c r="I780" s="97">
        <v>5</v>
      </c>
    </row>
    <row r="781" spans="1:9" ht="13.5" x14ac:dyDescent="0.25">
      <c r="A781" s="91" t="s">
        <v>1031</v>
      </c>
      <c r="B781" s="92" t="s">
        <v>285</v>
      </c>
      <c r="C781" s="91" t="s">
        <v>1031</v>
      </c>
      <c r="D781" s="91" t="s">
        <v>247</v>
      </c>
      <c r="E781" s="93">
        <v>33215</v>
      </c>
      <c r="F781" s="94">
        <f t="shared" ca="1" si="24"/>
        <v>25</v>
      </c>
      <c r="G781" s="95"/>
      <c r="H781" s="96">
        <v>64720</v>
      </c>
      <c r="I781" s="97">
        <v>5</v>
      </c>
    </row>
    <row r="782" spans="1:9" ht="13.5" x14ac:dyDescent="0.25">
      <c r="A782" s="91" t="s">
        <v>1031</v>
      </c>
      <c r="B782" s="92" t="s">
        <v>266</v>
      </c>
      <c r="C782" s="91" t="s">
        <v>1031</v>
      </c>
      <c r="D782" s="91" t="s">
        <v>261</v>
      </c>
      <c r="E782" s="93">
        <v>35247</v>
      </c>
      <c r="F782" s="94">
        <f t="shared" ca="1" si="24"/>
        <v>20</v>
      </c>
      <c r="G782" s="95" t="s">
        <v>257</v>
      </c>
      <c r="H782" s="96">
        <v>31250</v>
      </c>
      <c r="I782" s="97">
        <v>2</v>
      </c>
    </row>
    <row r="783" spans="1:9" ht="13.5" x14ac:dyDescent="0.25">
      <c r="A783" s="91" t="s">
        <v>1031</v>
      </c>
      <c r="B783" s="92" t="s">
        <v>251</v>
      </c>
      <c r="C783" s="91" t="s">
        <v>1031</v>
      </c>
      <c r="D783" s="91" t="s">
        <v>256</v>
      </c>
      <c r="E783" s="93">
        <v>39074</v>
      </c>
      <c r="F783" s="94">
        <f t="shared" ca="1" si="24"/>
        <v>9</v>
      </c>
      <c r="G783" s="95" t="s">
        <v>257</v>
      </c>
      <c r="H783" s="96">
        <v>46680</v>
      </c>
      <c r="I783" s="97">
        <v>1</v>
      </c>
    </row>
    <row r="784" spans="1:9" ht="13.5" x14ac:dyDescent="0.25">
      <c r="A784" s="91" t="s">
        <v>1031</v>
      </c>
      <c r="B784" s="92" t="s">
        <v>266</v>
      </c>
      <c r="C784" s="91" t="s">
        <v>1031</v>
      </c>
      <c r="D784" s="91" t="s">
        <v>252</v>
      </c>
      <c r="E784" s="93">
        <v>39233</v>
      </c>
      <c r="F784" s="94">
        <f t="shared" ca="1" si="24"/>
        <v>9</v>
      </c>
      <c r="G784" s="95"/>
      <c r="H784" s="96">
        <v>19044</v>
      </c>
      <c r="I784" s="97">
        <v>1</v>
      </c>
    </row>
    <row r="785" spans="1:9" ht="13.5" x14ac:dyDescent="0.25">
      <c r="A785" s="98" t="s">
        <v>1058</v>
      </c>
      <c r="B785" s="92"/>
      <c r="C785" s="98"/>
      <c r="D785" s="91"/>
      <c r="E785" s="93"/>
      <c r="F785" s="94"/>
      <c r="G785" s="95"/>
      <c r="H785" s="96"/>
      <c r="I785" s="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pageSetUpPr autoPageBreaks="0"/>
  </sheetPr>
  <dimension ref="A1:AH743"/>
  <sheetViews>
    <sheetView zoomScale="115" zoomScaleNormal="115" zoomScaleSheetLayoutView="100" workbookViewId="0">
      <selection activeCell="B35" sqref="B35"/>
    </sheetView>
  </sheetViews>
  <sheetFormatPr defaultColWidth="19.85546875" defaultRowHeight="15" x14ac:dyDescent="0.25"/>
  <cols>
    <col min="1" max="1" width="19.5703125" style="39" bestFit="1" customWidth="1"/>
    <col min="2" max="2" width="8.28515625" style="54" bestFit="1" customWidth="1"/>
    <col min="3" max="3" width="26.85546875" style="39" bestFit="1" customWidth="1"/>
    <col min="4" max="4" width="11.140625" style="75" bestFit="1" customWidth="1"/>
    <col min="5" max="5" width="12.28515625" style="75" bestFit="1" customWidth="1"/>
    <col min="6" max="6" width="12.28515625" style="39" bestFit="1" customWidth="1"/>
    <col min="7" max="7" width="10.7109375" style="81" bestFit="1" customWidth="1"/>
    <col min="8" max="8" width="10.7109375" style="82" customWidth="1"/>
    <col min="9" max="9" width="9" style="83" customWidth="1"/>
    <col min="10" max="10" width="8.42578125" style="39" bestFit="1" customWidth="1"/>
    <col min="11" max="11" width="9.42578125" style="70" customWidth="1"/>
    <col min="12" max="12" width="10" style="54" bestFit="1" customWidth="1"/>
    <col min="13" max="13" width="12.28515625" style="84" bestFit="1" customWidth="1"/>
    <col min="14" max="14" width="8.42578125" style="100" bestFit="1" customWidth="1"/>
    <col min="15" max="15" width="7.5703125" style="45" customWidth="1"/>
    <col min="16" max="16" width="7.28515625" style="39" customWidth="1"/>
    <col min="17" max="17" width="9.85546875" style="39" customWidth="1"/>
    <col min="18" max="18" width="8.85546875" style="39" bestFit="1" customWidth="1"/>
    <col min="19" max="19" width="4.5703125" style="39" bestFit="1" customWidth="1"/>
    <col min="20" max="20" width="9.28515625" style="39" customWidth="1"/>
    <col min="21" max="21" width="5.5703125" style="39" bestFit="1" customWidth="1"/>
    <col min="22" max="26" width="4.42578125" style="39" bestFit="1" customWidth="1"/>
    <col min="27" max="27" width="5.42578125" style="39" customWidth="1"/>
    <col min="28" max="28" width="6" style="39" bestFit="1" customWidth="1"/>
    <col min="29" max="33" width="4.42578125" style="39" bestFit="1" customWidth="1"/>
    <col min="34" max="34" width="4.140625" style="39" bestFit="1" customWidth="1"/>
    <col min="35" max="16384" width="19.85546875" style="39"/>
  </cols>
  <sheetData>
    <row r="1" spans="1:33" s="111" customFormat="1" x14ac:dyDescent="0.25">
      <c r="A1" s="118" t="s">
        <v>1076</v>
      </c>
      <c r="B1" s="118"/>
      <c r="C1" s="118"/>
      <c r="D1" s="117" t="s">
        <v>1075</v>
      </c>
      <c r="E1" s="117" t="s">
        <v>233</v>
      </c>
      <c r="F1" s="118" t="s">
        <v>1074</v>
      </c>
      <c r="G1" s="116" t="s">
        <v>1073</v>
      </c>
      <c r="H1" s="117" t="s">
        <v>1072</v>
      </c>
      <c r="I1" s="116" t="s">
        <v>1071</v>
      </c>
      <c r="J1" s="118"/>
      <c r="K1" s="116" t="s">
        <v>1070</v>
      </c>
      <c r="L1" s="117" t="s">
        <v>1069</v>
      </c>
      <c r="M1" s="116" t="s">
        <v>1068</v>
      </c>
      <c r="N1" s="116" t="s">
        <v>1067</v>
      </c>
      <c r="O1" s="121"/>
      <c r="P1" s="120">
        <v>2.9100000000000001E-2</v>
      </c>
    </row>
    <row r="2" spans="1:33" s="111" customFormat="1" ht="30" x14ac:dyDescent="0.25">
      <c r="A2" s="119" t="s">
        <v>1066</v>
      </c>
      <c r="B2" s="118" t="s">
        <v>230</v>
      </c>
      <c r="C2" s="118" t="s">
        <v>231</v>
      </c>
      <c r="D2" s="117" t="s">
        <v>1065</v>
      </c>
      <c r="E2" s="117" t="s">
        <v>1065</v>
      </c>
      <c r="F2" s="118" t="s">
        <v>234</v>
      </c>
      <c r="G2" s="116" t="s">
        <v>1064</v>
      </c>
      <c r="H2" s="117" t="s">
        <v>236</v>
      </c>
      <c r="I2" s="116" t="s">
        <v>1063</v>
      </c>
      <c r="J2" s="118" t="s">
        <v>238</v>
      </c>
      <c r="K2" s="116" t="s">
        <v>239</v>
      </c>
      <c r="L2" s="117" t="s">
        <v>1062</v>
      </c>
      <c r="M2" s="116" t="s">
        <v>239</v>
      </c>
      <c r="N2" s="116" t="s">
        <v>1061</v>
      </c>
      <c r="O2" s="115"/>
      <c r="P2" s="37"/>
      <c r="Q2" s="37"/>
      <c r="R2" s="38" t="s">
        <v>243</v>
      </c>
      <c r="S2" s="38"/>
      <c r="U2" s="40"/>
      <c r="V2" s="41" t="s">
        <v>73</v>
      </c>
      <c r="W2" s="41" t="s">
        <v>107</v>
      </c>
      <c r="X2" s="41" t="s">
        <v>100</v>
      </c>
      <c r="Y2" s="41" t="s">
        <v>65</v>
      </c>
      <c r="Z2" s="41" t="s">
        <v>83</v>
      </c>
      <c r="AA2" s="114"/>
      <c r="AB2" s="113"/>
      <c r="AC2" s="112" t="s">
        <v>73</v>
      </c>
      <c r="AD2" s="112" t="s">
        <v>107</v>
      </c>
      <c r="AE2" s="112" t="s">
        <v>100</v>
      </c>
      <c r="AF2" s="112" t="s">
        <v>65</v>
      </c>
      <c r="AG2" s="112" t="s">
        <v>83</v>
      </c>
    </row>
    <row r="3" spans="1:33" x14ac:dyDescent="0.25">
      <c r="A3" s="39" t="s">
        <v>392</v>
      </c>
      <c r="B3" s="46" t="s">
        <v>251</v>
      </c>
      <c r="C3" s="39" t="s">
        <v>391</v>
      </c>
      <c r="D3" s="102">
        <v>938508346</v>
      </c>
      <c r="E3" s="110">
        <v>2526738901</v>
      </c>
      <c r="F3" s="39" t="s">
        <v>247</v>
      </c>
      <c r="G3" s="81">
        <f>32699+(364+182)</f>
        <v>33245</v>
      </c>
      <c r="H3" s="50" t="str">
        <f t="shared" ref="H3:H66" si="0">CHOOSE(MONTH(G3),"Jan","Feb","Mar","Apr","May","Jun","Jul","Aug","Sep","Oct","Nov","Dec")</f>
        <v>Jan</v>
      </c>
      <c r="I3" s="51">
        <f t="shared" ref="I3:I66" ca="1" si="1">DATEDIF(G3,TODAY(),"Y")</f>
        <v>25</v>
      </c>
      <c r="J3" s="52"/>
      <c r="K3" s="53">
        <v>80050</v>
      </c>
      <c r="L3" s="54">
        <v>2</v>
      </c>
      <c r="M3" s="59">
        <f t="shared" ref="M3:M66" si="2">ROUND(K3*P1+K3,0)</f>
        <v>82379</v>
      </c>
      <c r="R3" s="57">
        <v>0</v>
      </c>
      <c r="S3" s="58">
        <v>0</v>
      </c>
      <c r="U3" s="40" t="s">
        <v>248</v>
      </c>
      <c r="V3" s="59">
        <v>33</v>
      </c>
      <c r="W3" s="59">
        <v>40</v>
      </c>
      <c r="X3" s="59">
        <v>37</v>
      </c>
      <c r="Y3" s="59">
        <v>48</v>
      </c>
      <c r="Z3" s="59">
        <v>48</v>
      </c>
      <c r="AA3" s="59"/>
      <c r="AB3" s="60" t="s">
        <v>249</v>
      </c>
      <c r="AC3" s="59">
        <v>45</v>
      </c>
      <c r="AD3" s="59">
        <v>47</v>
      </c>
      <c r="AE3" s="59">
        <v>35</v>
      </c>
      <c r="AF3" s="59">
        <v>49</v>
      </c>
      <c r="AG3" s="59">
        <v>37</v>
      </c>
    </row>
    <row r="4" spans="1:33" x14ac:dyDescent="0.25">
      <c r="A4" s="39" t="s">
        <v>751</v>
      </c>
      <c r="B4" s="46" t="s">
        <v>285</v>
      </c>
      <c r="C4" s="39" t="s">
        <v>750</v>
      </c>
      <c r="D4" s="102">
        <v>198564686</v>
      </c>
      <c r="E4" s="110">
        <v>2523355100</v>
      </c>
      <c r="F4" s="39" t="s">
        <v>256</v>
      </c>
      <c r="G4" s="81">
        <f>32700+(364+182)</f>
        <v>33246</v>
      </c>
      <c r="H4" s="50" t="str">
        <f t="shared" si="0"/>
        <v>Jan</v>
      </c>
      <c r="I4" s="51">
        <f t="shared" ca="1" si="1"/>
        <v>25</v>
      </c>
      <c r="J4" s="52" t="s">
        <v>257</v>
      </c>
      <c r="K4" s="53">
        <v>71730</v>
      </c>
      <c r="L4" s="54">
        <v>1</v>
      </c>
      <c r="M4" s="59">
        <f t="shared" si="2"/>
        <v>71730</v>
      </c>
      <c r="R4" s="61">
        <v>5000</v>
      </c>
      <c r="S4" s="62">
        <v>0.01</v>
      </c>
      <c r="U4" s="40" t="s">
        <v>253</v>
      </c>
      <c r="V4" s="59">
        <v>35</v>
      </c>
      <c r="W4" s="59">
        <v>38</v>
      </c>
      <c r="X4" s="59">
        <v>36</v>
      </c>
      <c r="Y4" s="59">
        <v>48</v>
      </c>
      <c r="Z4" s="59">
        <v>41</v>
      </c>
      <c r="AA4" s="59"/>
      <c r="AB4" s="60" t="s">
        <v>254</v>
      </c>
      <c r="AC4" s="59">
        <v>39</v>
      </c>
      <c r="AD4" s="59">
        <v>35</v>
      </c>
      <c r="AE4" s="59">
        <v>45</v>
      </c>
      <c r="AF4" s="59">
        <v>34</v>
      </c>
      <c r="AG4" s="59">
        <v>37</v>
      </c>
    </row>
    <row r="5" spans="1:33" x14ac:dyDescent="0.25">
      <c r="A5" s="39" t="s">
        <v>672</v>
      </c>
      <c r="B5" s="46" t="s">
        <v>280</v>
      </c>
      <c r="C5" s="39" t="s">
        <v>626</v>
      </c>
      <c r="D5" s="102">
        <v>279097202</v>
      </c>
      <c r="E5" s="110">
        <v>9196844371</v>
      </c>
      <c r="F5" s="39" t="s">
        <v>256</v>
      </c>
      <c r="G5" s="81">
        <f>32701+(364+182)</f>
        <v>33247</v>
      </c>
      <c r="H5" s="50" t="str">
        <f t="shared" si="0"/>
        <v>Jan</v>
      </c>
      <c r="I5" s="51">
        <f t="shared" ca="1" si="1"/>
        <v>25</v>
      </c>
      <c r="J5" s="52" t="s">
        <v>257</v>
      </c>
      <c r="K5" s="53">
        <v>62740</v>
      </c>
      <c r="L5" s="54">
        <v>4</v>
      </c>
      <c r="M5" s="59">
        <f t="shared" si="2"/>
        <v>62740</v>
      </c>
      <c r="R5" s="61">
        <v>25000</v>
      </c>
      <c r="S5" s="62">
        <v>0.05</v>
      </c>
      <c r="U5" s="40" t="s">
        <v>258</v>
      </c>
      <c r="V5" s="59">
        <v>49</v>
      </c>
      <c r="W5" s="59">
        <v>36</v>
      </c>
      <c r="X5" s="59">
        <v>40</v>
      </c>
      <c r="Y5" s="59">
        <v>35</v>
      </c>
      <c r="Z5" s="59">
        <v>44</v>
      </c>
      <c r="AA5" s="59"/>
      <c r="AB5" s="60" t="s">
        <v>259</v>
      </c>
      <c r="AC5" s="59">
        <v>30</v>
      </c>
      <c r="AD5" s="59">
        <v>45</v>
      </c>
      <c r="AE5" s="59">
        <v>43</v>
      </c>
      <c r="AF5" s="59">
        <v>46</v>
      </c>
      <c r="AG5" s="59">
        <v>30</v>
      </c>
    </row>
    <row r="6" spans="1:33" x14ac:dyDescent="0.25">
      <c r="A6" s="39" t="s">
        <v>894</v>
      </c>
      <c r="B6" s="46" t="s">
        <v>245</v>
      </c>
      <c r="C6" s="39" t="s">
        <v>856</v>
      </c>
      <c r="D6" s="102">
        <v>352371400</v>
      </c>
      <c r="E6" s="110">
        <v>2525441252</v>
      </c>
      <c r="F6" s="39" t="s">
        <v>252</v>
      </c>
      <c r="G6" s="81">
        <f>32710+(364+182)</f>
        <v>33256</v>
      </c>
      <c r="H6" s="50" t="str">
        <f t="shared" si="0"/>
        <v>Jan</v>
      </c>
      <c r="I6" s="51">
        <f t="shared" ca="1" si="1"/>
        <v>25</v>
      </c>
      <c r="J6" s="52"/>
      <c r="K6" s="53">
        <v>30468</v>
      </c>
      <c r="L6" s="54">
        <v>2</v>
      </c>
      <c r="M6" s="59">
        <f t="shared" si="2"/>
        <v>30468</v>
      </c>
      <c r="R6" s="61">
        <v>35000</v>
      </c>
      <c r="S6" s="62">
        <v>0.06</v>
      </c>
      <c r="U6" s="40" t="s">
        <v>263</v>
      </c>
      <c r="V6" s="59">
        <v>35</v>
      </c>
      <c r="W6" s="59">
        <v>46</v>
      </c>
      <c r="X6" s="59">
        <v>44</v>
      </c>
      <c r="Y6" s="59">
        <v>48</v>
      </c>
      <c r="Z6" s="59">
        <v>47</v>
      </c>
      <c r="AA6" s="59"/>
      <c r="AB6" s="60" t="s">
        <v>264</v>
      </c>
      <c r="AC6" s="59">
        <v>46</v>
      </c>
      <c r="AD6" s="59">
        <v>40</v>
      </c>
      <c r="AE6" s="59">
        <v>45</v>
      </c>
      <c r="AF6" s="59">
        <v>45</v>
      </c>
      <c r="AG6" s="59">
        <v>37</v>
      </c>
    </row>
    <row r="7" spans="1:33" x14ac:dyDescent="0.25">
      <c r="A7" s="39" t="s">
        <v>858</v>
      </c>
      <c r="B7" s="46" t="s">
        <v>285</v>
      </c>
      <c r="C7" s="39" t="s">
        <v>856</v>
      </c>
      <c r="D7" s="102">
        <v>420739404</v>
      </c>
      <c r="E7" s="102">
        <v>9197785583</v>
      </c>
      <c r="F7" s="39" t="s">
        <v>256</v>
      </c>
      <c r="G7" s="81">
        <f>32723+(364+182)</f>
        <v>33269</v>
      </c>
      <c r="H7" s="50" t="str">
        <f t="shared" si="0"/>
        <v>Jan</v>
      </c>
      <c r="I7" s="51">
        <f t="shared" ca="1" si="1"/>
        <v>25</v>
      </c>
      <c r="J7" s="52" t="s">
        <v>283</v>
      </c>
      <c r="K7" s="53">
        <v>24840</v>
      </c>
      <c r="L7" s="54">
        <v>1</v>
      </c>
      <c r="M7" s="59">
        <f t="shared" si="2"/>
        <v>24840</v>
      </c>
      <c r="R7" s="61">
        <v>45000</v>
      </c>
      <c r="S7" s="62">
        <v>7.0000000000000007E-2</v>
      </c>
      <c r="U7" s="40" t="s">
        <v>268</v>
      </c>
      <c r="V7" s="59">
        <v>31</v>
      </c>
      <c r="W7" s="59">
        <v>49</v>
      </c>
      <c r="X7" s="59">
        <v>43</v>
      </c>
      <c r="Y7" s="59">
        <v>42</v>
      </c>
      <c r="Z7" s="59">
        <v>34</v>
      </c>
      <c r="AA7" s="59"/>
      <c r="AB7" s="60" t="s">
        <v>269</v>
      </c>
      <c r="AC7" s="59">
        <v>38</v>
      </c>
      <c r="AD7" s="59">
        <v>39</v>
      </c>
      <c r="AE7" s="59">
        <v>42</v>
      </c>
      <c r="AF7" s="59">
        <v>40</v>
      </c>
      <c r="AG7" s="59">
        <v>43</v>
      </c>
    </row>
    <row r="8" spans="1:33" x14ac:dyDescent="0.25">
      <c r="A8" s="39" t="s">
        <v>878</v>
      </c>
      <c r="B8" s="46" t="s">
        <v>285</v>
      </c>
      <c r="C8" s="39" t="s">
        <v>856</v>
      </c>
      <c r="D8" s="102">
        <v>784064156</v>
      </c>
      <c r="E8" s="110">
        <v>9193355152</v>
      </c>
      <c r="F8" s="39" t="s">
        <v>256</v>
      </c>
      <c r="G8" s="81">
        <f>33058+(364+182)</f>
        <v>33604</v>
      </c>
      <c r="H8" s="50" t="str">
        <f t="shared" si="0"/>
        <v>Jan</v>
      </c>
      <c r="I8" s="51">
        <f t="shared" ca="1" si="1"/>
        <v>24</v>
      </c>
      <c r="J8" s="52" t="s">
        <v>257</v>
      </c>
      <c r="K8" s="53">
        <v>54830</v>
      </c>
      <c r="L8" s="54">
        <v>1</v>
      </c>
      <c r="M8" s="59">
        <f t="shared" si="2"/>
        <v>54830</v>
      </c>
      <c r="R8" s="61">
        <v>55000</v>
      </c>
      <c r="S8" s="62">
        <v>0.08</v>
      </c>
      <c r="U8" s="40" t="s">
        <v>273</v>
      </c>
      <c r="V8" s="59">
        <v>43</v>
      </c>
      <c r="W8" s="59">
        <v>38</v>
      </c>
      <c r="X8" s="59">
        <v>44</v>
      </c>
      <c r="Y8" s="59">
        <v>44</v>
      </c>
      <c r="Z8" s="59">
        <v>39</v>
      </c>
      <c r="AA8" s="59"/>
      <c r="AB8" s="60" t="s">
        <v>274</v>
      </c>
      <c r="AC8" s="59">
        <v>30</v>
      </c>
      <c r="AD8" s="59">
        <v>47</v>
      </c>
      <c r="AE8" s="59">
        <v>46</v>
      </c>
      <c r="AF8" s="59">
        <v>42</v>
      </c>
      <c r="AG8" s="59">
        <v>34</v>
      </c>
    </row>
    <row r="9" spans="1:33" x14ac:dyDescent="0.25">
      <c r="A9" s="39" t="s">
        <v>651</v>
      </c>
      <c r="B9" s="46" t="s">
        <v>285</v>
      </c>
      <c r="C9" s="39" t="s">
        <v>626</v>
      </c>
      <c r="D9" s="102">
        <v>751878224</v>
      </c>
      <c r="E9" s="102">
        <v>9194713628</v>
      </c>
      <c r="F9" s="39" t="s">
        <v>256</v>
      </c>
      <c r="G9" s="81">
        <f>33060+(364+182)</f>
        <v>33606</v>
      </c>
      <c r="H9" s="50" t="str">
        <f t="shared" si="0"/>
        <v>Jan</v>
      </c>
      <c r="I9" s="51">
        <f t="shared" ca="1" si="1"/>
        <v>24</v>
      </c>
      <c r="J9" s="52" t="s">
        <v>262</v>
      </c>
      <c r="K9" s="53">
        <v>87120</v>
      </c>
      <c r="L9" s="54">
        <v>3</v>
      </c>
      <c r="M9" s="59">
        <f t="shared" si="2"/>
        <v>87120</v>
      </c>
      <c r="R9" s="61">
        <v>65000</v>
      </c>
      <c r="S9" s="62">
        <v>0.1</v>
      </c>
    </row>
    <row r="10" spans="1:33" x14ac:dyDescent="0.25">
      <c r="A10" s="39" t="s">
        <v>390</v>
      </c>
      <c r="B10" s="46" t="s">
        <v>271</v>
      </c>
      <c r="C10" s="39" t="s">
        <v>391</v>
      </c>
      <c r="D10" s="102">
        <v>690374765</v>
      </c>
      <c r="E10" s="102">
        <v>2525786813</v>
      </c>
      <c r="F10" s="39" t="s">
        <v>256</v>
      </c>
      <c r="G10" s="81">
        <f>33067+(364+182)</f>
        <v>33613</v>
      </c>
      <c r="H10" s="50" t="str">
        <f t="shared" si="0"/>
        <v>Jan</v>
      </c>
      <c r="I10" s="51">
        <f t="shared" ca="1" si="1"/>
        <v>24</v>
      </c>
      <c r="J10" s="52" t="s">
        <v>267</v>
      </c>
      <c r="K10" s="53">
        <v>82500</v>
      </c>
      <c r="L10" s="54">
        <v>5</v>
      </c>
      <c r="M10" s="59">
        <f t="shared" si="2"/>
        <v>82500</v>
      </c>
      <c r="R10" s="61">
        <v>75000</v>
      </c>
      <c r="S10" s="62">
        <v>0.11</v>
      </c>
      <c r="U10" s="64"/>
      <c r="V10" s="65"/>
      <c r="W10" s="65"/>
      <c r="X10" s="65"/>
      <c r="Y10" s="65"/>
      <c r="Z10" s="65"/>
      <c r="AB10" s="66"/>
      <c r="AC10" s="67"/>
      <c r="AD10" s="67"/>
      <c r="AE10" s="67"/>
      <c r="AF10" s="67"/>
    </row>
    <row r="11" spans="1:33" x14ac:dyDescent="0.25">
      <c r="A11" s="39" t="s">
        <v>585</v>
      </c>
      <c r="B11" s="46" t="s">
        <v>285</v>
      </c>
      <c r="C11" s="39" t="s">
        <v>465</v>
      </c>
      <c r="D11" s="102">
        <v>291715078</v>
      </c>
      <c r="E11" s="102">
        <v>9197662359</v>
      </c>
      <c r="F11" s="39" t="s">
        <v>256</v>
      </c>
      <c r="G11" s="81">
        <f>33067+(364+182)</f>
        <v>33613</v>
      </c>
      <c r="H11" s="50" t="str">
        <f t="shared" si="0"/>
        <v>Jan</v>
      </c>
      <c r="I11" s="51">
        <f t="shared" ca="1" si="1"/>
        <v>24</v>
      </c>
      <c r="J11" s="52" t="s">
        <v>586</v>
      </c>
      <c r="K11" s="53">
        <v>56900</v>
      </c>
      <c r="L11" s="54">
        <v>5</v>
      </c>
      <c r="M11" s="59">
        <f t="shared" si="2"/>
        <v>56900</v>
      </c>
      <c r="R11" s="61">
        <v>85000</v>
      </c>
      <c r="S11" s="62">
        <v>0.12</v>
      </c>
      <c r="U11" s="64"/>
      <c r="V11" s="68"/>
      <c r="W11" s="68"/>
      <c r="X11" s="68"/>
      <c r="Y11" s="68"/>
      <c r="Z11" s="68"/>
      <c r="AA11" s="69"/>
      <c r="AB11" s="70"/>
      <c r="AC11" s="52"/>
      <c r="AD11" s="52"/>
      <c r="AE11" s="52"/>
      <c r="AF11" s="52"/>
    </row>
    <row r="12" spans="1:33" x14ac:dyDescent="0.25">
      <c r="A12" s="39" t="s">
        <v>690</v>
      </c>
      <c r="B12" s="46" t="s">
        <v>280</v>
      </c>
      <c r="C12" s="39" t="s">
        <v>678</v>
      </c>
      <c r="D12" s="102">
        <v>247555666</v>
      </c>
      <c r="E12" s="102">
        <v>2528183445</v>
      </c>
      <c r="F12" s="39" t="s">
        <v>256</v>
      </c>
      <c r="G12" s="81">
        <f>33071+(364+182)</f>
        <v>33617</v>
      </c>
      <c r="H12" s="50" t="str">
        <f t="shared" si="0"/>
        <v>Jan</v>
      </c>
      <c r="I12" s="51">
        <f t="shared" ca="1" si="1"/>
        <v>24</v>
      </c>
      <c r="J12" s="52" t="s">
        <v>257</v>
      </c>
      <c r="K12" s="53">
        <v>39110</v>
      </c>
      <c r="L12" s="54">
        <v>5</v>
      </c>
      <c r="M12" s="59">
        <f t="shared" si="2"/>
        <v>39110</v>
      </c>
      <c r="R12" s="61">
        <v>95000</v>
      </c>
      <c r="S12" s="62">
        <v>0.13</v>
      </c>
      <c r="U12" s="64"/>
      <c r="V12" s="68"/>
      <c r="W12" s="68"/>
      <c r="X12" s="68"/>
      <c r="Y12" s="68"/>
      <c r="Z12" s="68"/>
      <c r="AA12" s="52"/>
      <c r="AB12" s="70"/>
      <c r="AC12" s="52"/>
      <c r="AD12" s="52"/>
      <c r="AE12" s="52"/>
      <c r="AF12" s="52"/>
    </row>
    <row r="13" spans="1:33" x14ac:dyDescent="0.25">
      <c r="A13" s="39" t="s">
        <v>315</v>
      </c>
      <c r="B13" s="46" t="s">
        <v>285</v>
      </c>
      <c r="C13" s="39" t="s">
        <v>312</v>
      </c>
      <c r="D13" s="102">
        <v>260815239</v>
      </c>
      <c r="E13" s="102">
        <v>2523040292</v>
      </c>
      <c r="F13" s="39" t="s">
        <v>252</v>
      </c>
      <c r="G13" s="81">
        <f>33074+(364+182)</f>
        <v>33620</v>
      </c>
      <c r="H13" s="50" t="str">
        <f t="shared" si="0"/>
        <v>Jan</v>
      </c>
      <c r="I13" s="51">
        <f t="shared" ca="1" si="1"/>
        <v>24</v>
      </c>
      <c r="J13" s="52"/>
      <c r="K13" s="53">
        <v>14568</v>
      </c>
      <c r="L13" s="54">
        <v>3</v>
      </c>
      <c r="M13" s="59">
        <f t="shared" si="2"/>
        <v>14568</v>
      </c>
      <c r="O13" s="101"/>
      <c r="R13" s="71"/>
      <c r="U13" s="64"/>
      <c r="V13" s="68"/>
      <c r="W13" s="68"/>
      <c r="X13" s="68"/>
      <c r="Y13" s="68"/>
      <c r="Z13" s="68"/>
      <c r="AA13" s="52"/>
      <c r="AB13" s="70"/>
      <c r="AC13" s="52"/>
      <c r="AD13" s="52"/>
      <c r="AE13" s="52"/>
      <c r="AF13" s="52"/>
    </row>
    <row r="14" spans="1:33" x14ac:dyDescent="0.25">
      <c r="A14" s="39" t="s">
        <v>715</v>
      </c>
      <c r="B14" s="46" t="s">
        <v>245</v>
      </c>
      <c r="C14" s="39" t="s">
        <v>705</v>
      </c>
      <c r="D14" s="102">
        <v>724193735</v>
      </c>
      <c r="E14" s="102">
        <v>2528627048</v>
      </c>
      <c r="F14" s="39" t="s">
        <v>256</v>
      </c>
      <c r="G14" s="81">
        <f>33074+(364+182)</f>
        <v>33620</v>
      </c>
      <c r="H14" s="50" t="str">
        <f t="shared" si="0"/>
        <v>Jan</v>
      </c>
      <c r="I14" s="51">
        <f t="shared" ca="1" si="1"/>
        <v>24</v>
      </c>
      <c r="J14" s="52" t="s">
        <v>283</v>
      </c>
      <c r="K14" s="53">
        <v>43190</v>
      </c>
      <c r="L14" s="54">
        <v>2</v>
      </c>
      <c r="M14" s="59">
        <f t="shared" si="2"/>
        <v>43190</v>
      </c>
      <c r="R14" s="71"/>
      <c r="U14" s="64"/>
      <c r="V14" s="68"/>
      <c r="W14" s="68"/>
      <c r="X14" s="68"/>
      <c r="Y14" s="68"/>
      <c r="Z14" s="68"/>
      <c r="AA14" s="52"/>
      <c r="AB14" s="70"/>
      <c r="AC14" s="52"/>
      <c r="AD14" s="52"/>
      <c r="AE14" s="52"/>
      <c r="AF14" s="52"/>
    </row>
    <row r="15" spans="1:33" x14ac:dyDescent="0.25">
      <c r="A15" s="39" t="s">
        <v>491</v>
      </c>
      <c r="B15" s="46" t="s">
        <v>271</v>
      </c>
      <c r="C15" s="39" t="s">
        <v>465</v>
      </c>
      <c r="D15" s="102">
        <v>806508287</v>
      </c>
      <c r="E15" s="102">
        <v>2528801464</v>
      </c>
      <c r="F15" s="39" t="s">
        <v>256</v>
      </c>
      <c r="G15" s="81">
        <f>33085+(364+182)</f>
        <v>33631</v>
      </c>
      <c r="H15" s="50" t="str">
        <f t="shared" si="0"/>
        <v>Jan</v>
      </c>
      <c r="I15" s="51">
        <f t="shared" ca="1" si="1"/>
        <v>24</v>
      </c>
      <c r="J15" s="52" t="s">
        <v>257</v>
      </c>
      <c r="K15" s="53">
        <v>52940</v>
      </c>
      <c r="L15" s="54">
        <v>4</v>
      </c>
      <c r="M15" s="59">
        <f t="shared" si="2"/>
        <v>52940</v>
      </c>
      <c r="U15" s="64"/>
      <c r="V15" s="68"/>
      <c r="W15" s="68"/>
      <c r="X15" s="68"/>
      <c r="Y15" s="68"/>
      <c r="Z15" s="68"/>
      <c r="AA15" s="52"/>
      <c r="AB15" s="70"/>
      <c r="AC15" s="52"/>
      <c r="AD15" s="52"/>
      <c r="AE15" s="52"/>
      <c r="AF15" s="52"/>
    </row>
    <row r="16" spans="1:33" x14ac:dyDescent="0.25">
      <c r="A16" s="39" t="s">
        <v>952</v>
      </c>
      <c r="B16" s="46" t="s">
        <v>285</v>
      </c>
      <c r="C16" s="39" t="s">
        <v>930</v>
      </c>
      <c r="D16" s="102">
        <v>656572514</v>
      </c>
      <c r="E16" s="102">
        <v>9193679666</v>
      </c>
      <c r="F16" s="39" t="s">
        <v>247</v>
      </c>
      <c r="G16" s="81">
        <f>33428+(364+182)</f>
        <v>33974</v>
      </c>
      <c r="H16" s="50" t="str">
        <f t="shared" si="0"/>
        <v>Jan</v>
      </c>
      <c r="I16" s="51">
        <f t="shared" ca="1" si="1"/>
        <v>23</v>
      </c>
      <c r="J16" s="52"/>
      <c r="K16" s="53">
        <v>70150</v>
      </c>
      <c r="L16" s="54">
        <v>2</v>
      </c>
      <c r="M16" s="59">
        <f t="shared" si="2"/>
        <v>70150</v>
      </c>
      <c r="U16" s="64"/>
      <c r="V16" s="68"/>
      <c r="W16" s="68"/>
      <c r="X16" s="68"/>
      <c r="Y16" s="68"/>
      <c r="Z16" s="68"/>
      <c r="AA16" s="52"/>
      <c r="AB16" s="70"/>
      <c r="AC16" s="52"/>
      <c r="AD16" s="52"/>
      <c r="AE16" s="52"/>
      <c r="AF16" s="52"/>
    </row>
    <row r="17" spans="1:32" x14ac:dyDescent="0.25">
      <c r="A17" s="39" t="s">
        <v>1002</v>
      </c>
      <c r="B17" s="46" t="s">
        <v>271</v>
      </c>
      <c r="C17" s="39" t="s">
        <v>930</v>
      </c>
      <c r="D17" s="102">
        <v>317749924</v>
      </c>
      <c r="E17" s="102">
        <v>9193441810</v>
      </c>
      <c r="F17" s="39" t="s">
        <v>247</v>
      </c>
      <c r="G17" s="81">
        <f>33431+(364+182)</f>
        <v>33977</v>
      </c>
      <c r="H17" s="50" t="str">
        <f t="shared" si="0"/>
        <v>Jan</v>
      </c>
      <c r="I17" s="51">
        <f t="shared" ca="1" si="1"/>
        <v>23</v>
      </c>
      <c r="J17" s="52"/>
      <c r="K17" s="53">
        <v>63290</v>
      </c>
      <c r="L17" s="54">
        <v>5</v>
      </c>
      <c r="M17" s="59">
        <f t="shared" si="2"/>
        <v>63290</v>
      </c>
      <c r="V17" s="74"/>
      <c r="W17" s="74"/>
      <c r="X17" s="74"/>
      <c r="Y17" s="74"/>
      <c r="Z17" s="52"/>
      <c r="AA17" s="52"/>
      <c r="AB17" s="52"/>
      <c r="AC17" s="52"/>
      <c r="AD17" s="52"/>
      <c r="AE17" s="52"/>
      <c r="AF17" s="52"/>
    </row>
    <row r="18" spans="1:32" x14ac:dyDescent="0.25">
      <c r="A18" s="39" t="s">
        <v>954</v>
      </c>
      <c r="B18" s="46" t="s">
        <v>280</v>
      </c>
      <c r="C18" s="39" t="s">
        <v>930</v>
      </c>
      <c r="D18" s="102">
        <v>364525917</v>
      </c>
      <c r="E18" s="102">
        <v>2522787318</v>
      </c>
      <c r="F18" s="39" t="s">
        <v>256</v>
      </c>
      <c r="G18" s="81">
        <f>33432+(364+182)</f>
        <v>33978</v>
      </c>
      <c r="H18" s="50" t="str">
        <f t="shared" si="0"/>
        <v>Jan</v>
      </c>
      <c r="I18" s="51">
        <f t="shared" ca="1" si="1"/>
        <v>23</v>
      </c>
      <c r="J18" s="52" t="s">
        <v>283</v>
      </c>
      <c r="K18" s="53">
        <v>46410</v>
      </c>
      <c r="L18" s="54">
        <v>2</v>
      </c>
      <c r="M18" s="59">
        <f t="shared" si="2"/>
        <v>46410</v>
      </c>
    </row>
    <row r="19" spans="1:32" x14ac:dyDescent="0.25">
      <c r="A19" s="39" t="s">
        <v>577</v>
      </c>
      <c r="B19" s="46" t="s">
        <v>271</v>
      </c>
      <c r="C19" s="39" t="s">
        <v>465</v>
      </c>
      <c r="D19" s="102">
        <v>820244290</v>
      </c>
      <c r="E19" s="102">
        <v>9194944596</v>
      </c>
      <c r="F19" s="39" t="s">
        <v>247</v>
      </c>
      <c r="G19" s="81">
        <f>33433+(364+182)</f>
        <v>33979</v>
      </c>
      <c r="H19" s="50" t="str">
        <f t="shared" si="0"/>
        <v>Jan</v>
      </c>
      <c r="I19" s="51">
        <f t="shared" ca="1" si="1"/>
        <v>23</v>
      </c>
      <c r="J19" s="52"/>
      <c r="K19" s="53">
        <v>73990</v>
      </c>
      <c r="L19" s="54">
        <v>3</v>
      </c>
      <c r="M19" s="59">
        <f t="shared" si="2"/>
        <v>73990</v>
      </c>
    </row>
    <row r="20" spans="1:32" x14ac:dyDescent="0.25">
      <c r="A20" s="39" t="s">
        <v>367</v>
      </c>
      <c r="B20" s="46" t="s">
        <v>245</v>
      </c>
      <c r="C20" s="39" t="s">
        <v>312</v>
      </c>
      <c r="D20" s="102">
        <v>648911225</v>
      </c>
      <c r="E20" s="102">
        <v>2525829090</v>
      </c>
      <c r="F20" s="39" t="s">
        <v>247</v>
      </c>
      <c r="G20" s="81">
        <f>33435+(364+182)</f>
        <v>33981</v>
      </c>
      <c r="H20" s="50" t="str">
        <f t="shared" si="0"/>
        <v>Jan</v>
      </c>
      <c r="I20" s="51">
        <f t="shared" ca="1" si="1"/>
        <v>23</v>
      </c>
      <c r="J20" s="52"/>
      <c r="K20" s="53">
        <v>83020</v>
      </c>
      <c r="L20" s="54">
        <v>4</v>
      </c>
      <c r="M20" s="59">
        <f t="shared" si="2"/>
        <v>83020</v>
      </c>
    </row>
    <row r="21" spans="1:32" x14ac:dyDescent="0.25">
      <c r="A21" s="39" t="s">
        <v>598</v>
      </c>
      <c r="B21" s="46" t="s">
        <v>271</v>
      </c>
      <c r="C21" s="39" t="s">
        <v>465</v>
      </c>
      <c r="D21" s="102">
        <v>505966230</v>
      </c>
      <c r="E21" s="102">
        <v>9198038161</v>
      </c>
      <c r="F21" s="39" t="s">
        <v>256</v>
      </c>
      <c r="G21" s="81">
        <f>33447+(364+182)</f>
        <v>33993</v>
      </c>
      <c r="H21" s="50" t="str">
        <f t="shared" si="0"/>
        <v>Jan</v>
      </c>
      <c r="I21" s="51">
        <f t="shared" ca="1" si="1"/>
        <v>23</v>
      </c>
      <c r="J21" s="52" t="s">
        <v>283</v>
      </c>
      <c r="K21" s="53">
        <v>45500</v>
      </c>
      <c r="L21" s="54">
        <v>3</v>
      </c>
      <c r="M21" s="59">
        <f t="shared" si="2"/>
        <v>45500</v>
      </c>
    </row>
    <row r="22" spans="1:32" x14ac:dyDescent="0.25">
      <c r="A22" s="39" t="s">
        <v>400</v>
      </c>
      <c r="B22" s="46" t="s">
        <v>285</v>
      </c>
      <c r="C22" s="39" t="s">
        <v>391</v>
      </c>
      <c r="D22" s="102">
        <v>585815837</v>
      </c>
      <c r="E22" s="102">
        <v>9194983657</v>
      </c>
      <c r="F22" s="39" t="s">
        <v>261</v>
      </c>
      <c r="G22" s="81">
        <f>33448+(364+182)</f>
        <v>33994</v>
      </c>
      <c r="H22" s="50" t="str">
        <f t="shared" si="0"/>
        <v>Jan</v>
      </c>
      <c r="I22" s="51">
        <f t="shared" ca="1" si="1"/>
        <v>23</v>
      </c>
      <c r="J22" s="52" t="s">
        <v>276</v>
      </c>
      <c r="K22" s="53">
        <v>18655</v>
      </c>
      <c r="L22" s="54">
        <v>4</v>
      </c>
      <c r="M22" s="59">
        <f t="shared" si="2"/>
        <v>18655</v>
      </c>
    </row>
    <row r="23" spans="1:32" x14ac:dyDescent="0.25">
      <c r="A23" s="39" t="s">
        <v>879</v>
      </c>
      <c r="B23" s="46" t="s">
        <v>271</v>
      </c>
      <c r="C23" s="39" t="s">
        <v>856</v>
      </c>
      <c r="D23" s="102">
        <v>102159909</v>
      </c>
      <c r="E23" s="102">
        <v>2521868104</v>
      </c>
      <c r="F23" s="39" t="s">
        <v>252</v>
      </c>
      <c r="G23" s="81">
        <f>33799+(364+182)</f>
        <v>34345</v>
      </c>
      <c r="H23" s="50" t="str">
        <f t="shared" si="0"/>
        <v>Jan</v>
      </c>
      <c r="I23" s="51">
        <f t="shared" ca="1" si="1"/>
        <v>22</v>
      </c>
      <c r="J23" s="52"/>
      <c r="K23" s="53">
        <v>36788</v>
      </c>
      <c r="L23" s="54">
        <v>4</v>
      </c>
      <c r="M23" s="59">
        <f t="shared" si="2"/>
        <v>36788</v>
      </c>
    </row>
    <row r="24" spans="1:32" x14ac:dyDescent="0.25">
      <c r="A24" s="39" t="s">
        <v>707</v>
      </c>
      <c r="B24" s="46" t="s">
        <v>280</v>
      </c>
      <c r="C24" s="39" t="s">
        <v>705</v>
      </c>
      <c r="D24" s="102">
        <v>542214575</v>
      </c>
      <c r="E24" s="102">
        <v>2522172913</v>
      </c>
      <c r="F24" s="39" t="s">
        <v>256</v>
      </c>
      <c r="G24" s="81">
        <f>34156+(364+182)</f>
        <v>34702</v>
      </c>
      <c r="H24" s="50" t="str">
        <f t="shared" si="0"/>
        <v>Jan</v>
      </c>
      <c r="I24" s="51">
        <f t="shared" ca="1" si="1"/>
        <v>21</v>
      </c>
      <c r="J24" s="52" t="s">
        <v>257</v>
      </c>
      <c r="K24" s="53">
        <v>87030</v>
      </c>
      <c r="L24" s="54">
        <v>3</v>
      </c>
      <c r="M24" s="59">
        <f t="shared" si="2"/>
        <v>87030</v>
      </c>
    </row>
    <row r="25" spans="1:32" x14ac:dyDescent="0.25">
      <c r="A25" s="39" t="s">
        <v>974</v>
      </c>
      <c r="B25" s="46" t="s">
        <v>271</v>
      </c>
      <c r="C25" s="39" t="s">
        <v>930</v>
      </c>
      <c r="D25" s="102">
        <v>375875723</v>
      </c>
      <c r="E25" s="102">
        <v>2526026842</v>
      </c>
      <c r="F25" s="39" t="s">
        <v>247</v>
      </c>
      <c r="G25" s="81">
        <f>34177+(364+182)</f>
        <v>34723</v>
      </c>
      <c r="H25" s="50" t="str">
        <f t="shared" si="0"/>
        <v>Jan</v>
      </c>
      <c r="I25" s="51">
        <f t="shared" ca="1" si="1"/>
        <v>21</v>
      </c>
      <c r="J25" s="52"/>
      <c r="K25" s="53">
        <v>64263</v>
      </c>
      <c r="L25" s="54">
        <v>3</v>
      </c>
      <c r="M25" s="59">
        <f t="shared" si="2"/>
        <v>64263</v>
      </c>
    </row>
    <row r="26" spans="1:32" x14ac:dyDescent="0.25">
      <c r="A26" s="39" t="s">
        <v>804</v>
      </c>
      <c r="B26" s="46" t="s">
        <v>271</v>
      </c>
      <c r="C26" s="39" t="s">
        <v>767</v>
      </c>
      <c r="D26" s="102">
        <v>494754997</v>
      </c>
      <c r="E26" s="102">
        <v>9195617115</v>
      </c>
      <c r="F26" s="39" t="s">
        <v>247</v>
      </c>
      <c r="G26" s="81">
        <f>34180+(364+182)</f>
        <v>34726</v>
      </c>
      <c r="H26" s="50" t="str">
        <f t="shared" si="0"/>
        <v>Jan</v>
      </c>
      <c r="I26" s="51">
        <f t="shared" ca="1" si="1"/>
        <v>21</v>
      </c>
      <c r="J26" s="52"/>
      <c r="K26" s="53">
        <v>33120</v>
      </c>
      <c r="L26" s="54">
        <v>2</v>
      </c>
      <c r="M26" s="59">
        <f t="shared" si="2"/>
        <v>33120</v>
      </c>
    </row>
    <row r="27" spans="1:32" x14ac:dyDescent="0.25">
      <c r="A27" s="39" t="s">
        <v>419</v>
      </c>
      <c r="B27" s="46" t="s">
        <v>285</v>
      </c>
      <c r="C27" s="39" t="s">
        <v>417</v>
      </c>
      <c r="D27" s="102">
        <v>425598783</v>
      </c>
      <c r="E27" s="102">
        <v>9191559081</v>
      </c>
      <c r="F27" s="39" t="s">
        <v>261</v>
      </c>
      <c r="G27" s="81">
        <f>34524+(364+182)</f>
        <v>35070</v>
      </c>
      <c r="H27" s="50" t="str">
        <f t="shared" si="0"/>
        <v>Jan</v>
      </c>
      <c r="I27" s="51">
        <f t="shared" ca="1" si="1"/>
        <v>20</v>
      </c>
      <c r="J27" s="52" t="s">
        <v>276</v>
      </c>
      <c r="K27" s="53">
        <v>21220</v>
      </c>
      <c r="L27" s="54">
        <v>3</v>
      </c>
      <c r="M27" s="59">
        <f t="shared" si="2"/>
        <v>21220</v>
      </c>
    </row>
    <row r="28" spans="1:32" x14ac:dyDescent="0.25">
      <c r="A28" s="39" t="s">
        <v>416</v>
      </c>
      <c r="B28" s="46" t="s">
        <v>271</v>
      </c>
      <c r="C28" s="39" t="s">
        <v>417</v>
      </c>
      <c r="D28" s="102">
        <v>707553376</v>
      </c>
      <c r="E28" s="102">
        <v>9194194193</v>
      </c>
      <c r="F28" s="39" t="s">
        <v>256</v>
      </c>
      <c r="G28" s="81">
        <f>34538+(364+182)</f>
        <v>35084</v>
      </c>
      <c r="H28" s="50" t="str">
        <f t="shared" si="0"/>
        <v>Jan</v>
      </c>
      <c r="I28" s="51">
        <f t="shared" ca="1" si="1"/>
        <v>20</v>
      </c>
      <c r="J28" s="52" t="s">
        <v>276</v>
      </c>
      <c r="K28" s="53">
        <v>49260</v>
      </c>
      <c r="L28" s="54">
        <v>3</v>
      </c>
      <c r="M28" s="59">
        <f t="shared" si="2"/>
        <v>49260</v>
      </c>
    </row>
    <row r="29" spans="1:32" x14ac:dyDescent="0.25">
      <c r="A29" s="39" t="s">
        <v>318</v>
      </c>
      <c r="B29" s="46" t="s">
        <v>271</v>
      </c>
      <c r="C29" s="39" t="s">
        <v>312</v>
      </c>
      <c r="D29" s="102">
        <v>923665952</v>
      </c>
      <c r="E29" s="102">
        <v>2525295649</v>
      </c>
      <c r="F29" s="39" t="s">
        <v>256</v>
      </c>
      <c r="G29" s="81">
        <f>34540+(364+182)</f>
        <v>35086</v>
      </c>
      <c r="H29" s="50" t="str">
        <f t="shared" si="0"/>
        <v>Jan</v>
      </c>
      <c r="I29" s="51">
        <f t="shared" ca="1" si="1"/>
        <v>20</v>
      </c>
      <c r="J29" s="52" t="s">
        <v>267</v>
      </c>
      <c r="K29" s="53">
        <v>77350</v>
      </c>
      <c r="L29" s="54">
        <v>5</v>
      </c>
      <c r="M29" s="59">
        <f t="shared" si="2"/>
        <v>77350</v>
      </c>
      <c r="N29" s="107"/>
    </row>
    <row r="30" spans="1:32" x14ac:dyDescent="0.25">
      <c r="A30" s="39" t="s">
        <v>850</v>
      </c>
      <c r="B30" s="46" t="s">
        <v>245</v>
      </c>
      <c r="C30" s="39" t="s">
        <v>767</v>
      </c>
      <c r="D30" s="102">
        <v>828715080</v>
      </c>
      <c r="E30" s="102">
        <v>2523613559</v>
      </c>
      <c r="F30" s="39" t="s">
        <v>256</v>
      </c>
      <c r="G30" s="81">
        <f>34548+(364+182)</f>
        <v>35094</v>
      </c>
      <c r="H30" s="50" t="str">
        <f t="shared" si="0"/>
        <v>Jan</v>
      </c>
      <c r="I30" s="51">
        <f t="shared" ca="1" si="1"/>
        <v>20</v>
      </c>
      <c r="J30" s="52" t="s">
        <v>262</v>
      </c>
      <c r="K30" s="53">
        <v>61148</v>
      </c>
      <c r="L30" s="54">
        <v>2</v>
      </c>
      <c r="M30" s="59">
        <f t="shared" si="2"/>
        <v>61148</v>
      </c>
    </row>
    <row r="31" spans="1:32" x14ac:dyDescent="0.25">
      <c r="A31" s="39" t="s">
        <v>694</v>
      </c>
      <c r="B31" s="46" t="s">
        <v>285</v>
      </c>
      <c r="C31" s="39" t="s">
        <v>678</v>
      </c>
      <c r="D31" s="102">
        <v>557568959</v>
      </c>
      <c r="E31" s="102">
        <v>9192783818</v>
      </c>
      <c r="F31" s="39" t="s">
        <v>247</v>
      </c>
      <c r="G31" s="81">
        <f>34901+(364+182)</f>
        <v>35447</v>
      </c>
      <c r="H31" s="50" t="str">
        <f t="shared" si="0"/>
        <v>Jan</v>
      </c>
      <c r="I31" s="51">
        <f t="shared" ca="1" si="1"/>
        <v>19</v>
      </c>
      <c r="J31" s="52"/>
      <c r="K31" s="53">
        <v>54190</v>
      </c>
      <c r="L31" s="54">
        <v>4</v>
      </c>
      <c r="M31" s="59">
        <f t="shared" si="2"/>
        <v>54190</v>
      </c>
    </row>
    <row r="32" spans="1:32" x14ac:dyDescent="0.25">
      <c r="A32" s="39" t="s">
        <v>389</v>
      </c>
      <c r="B32" s="46" t="s">
        <v>271</v>
      </c>
      <c r="C32" s="39" t="s">
        <v>381</v>
      </c>
      <c r="D32" s="102">
        <v>943671719</v>
      </c>
      <c r="E32" s="102">
        <v>9193517837</v>
      </c>
      <c r="F32" s="39" t="s">
        <v>256</v>
      </c>
      <c r="G32" s="81">
        <f>34903+(364+182)</f>
        <v>35449</v>
      </c>
      <c r="H32" s="50" t="str">
        <f t="shared" si="0"/>
        <v>Jan</v>
      </c>
      <c r="I32" s="51">
        <f t="shared" ca="1" si="1"/>
        <v>19</v>
      </c>
      <c r="J32" s="52" t="s">
        <v>283</v>
      </c>
      <c r="K32" s="53">
        <v>22920</v>
      </c>
      <c r="L32" s="54">
        <v>3</v>
      </c>
      <c r="M32" s="59">
        <f t="shared" si="2"/>
        <v>22920</v>
      </c>
    </row>
    <row r="33" spans="1:17" x14ac:dyDescent="0.25">
      <c r="A33" s="39" t="s">
        <v>542</v>
      </c>
      <c r="B33" s="46" t="s">
        <v>271</v>
      </c>
      <c r="C33" s="39" t="s">
        <v>465</v>
      </c>
      <c r="D33" s="102">
        <v>616417564</v>
      </c>
      <c r="E33" s="102">
        <v>9191806180</v>
      </c>
      <c r="F33" s="39" t="s">
        <v>247</v>
      </c>
      <c r="G33" s="81">
        <f>34905+(364+182)</f>
        <v>35451</v>
      </c>
      <c r="H33" s="50" t="str">
        <f t="shared" si="0"/>
        <v>Jan</v>
      </c>
      <c r="I33" s="51">
        <f t="shared" ca="1" si="1"/>
        <v>19</v>
      </c>
      <c r="J33" s="52"/>
      <c r="K33" s="53">
        <v>42150</v>
      </c>
      <c r="L33" s="54">
        <v>5</v>
      </c>
      <c r="M33" s="59">
        <f t="shared" si="2"/>
        <v>42150</v>
      </c>
    </row>
    <row r="34" spans="1:17" x14ac:dyDescent="0.25">
      <c r="A34" s="39" t="s">
        <v>699</v>
      </c>
      <c r="B34" s="46" t="s">
        <v>245</v>
      </c>
      <c r="C34" s="39" t="s">
        <v>700</v>
      </c>
      <c r="D34" s="102">
        <v>252582122</v>
      </c>
      <c r="E34" s="102">
        <v>9197764351</v>
      </c>
      <c r="F34" s="39" t="s">
        <v>247</v>
      </c>
      <c r="G34" s="81">
        <f>34905+(364+182)</f>
        <v>35451</v>
      </c>
      <c r="H34" s="50" t="str">
        <f t="shared" si="0"/>
        <v>Jan</v>
      </c>
      <c r="I34" s="51">
        <f t="shared" ca="1" si="1"/>
        <v>19</v>
      </c>
      <c r="J34" s="52"/>
      <c r="K34" s="53">
        <v>25120</v>
      </c>
      <c r="L34" s="54">
        <v>2</v>
      </c>
      <c r="M34" s="59">
        <f t="shared" si="2"/>
        <v>25120</v>
      </c>
    </row>
    <row r="35" spans="1:17" x14ac:dyDescent="0.25">
      <c r="A35" s="39" t="s">
        <v>912</v>
      </c>
      <c r="B35" s="46" t="s">
        <v>245</v>
      </c>
      <c r="C35" s="39" t="s">
        <v>856</v>
      </c>
      <c r="D35" s="102">
        <v>426014550</v>
      </c>
      <c r="E35" s="102">
        <v>2522889182</v>
      </c>
      <c r="F35" s="39" t="s">
        <v>256</v>
      </c>
      <c r="G35" s="81">
        <f>34905+(364+182)</f>
        <v>35451</v>
      </c>
      <c r="H35" s="50" t="str">
        <f t="shared" si="0"/>
        <v>Jan</v>
      </c>
      <c r="I35" s="51">
        <f t="shared" ca="1" si="1"/>
        <v>19</v>
      </c>
      <c r="J35" s="52" t="s">
        <v>276</v>
      </c>
      <c r="K35" s="53">
        <v>62965</v>
      </c>
      <c r="L35" s="54">
        <v>1</v>
      </c>
      <c r="M35" s="59">
        <f t="shared" si="2"/>
        <v>62965</v>
      </c>
    </row>
    <row r="36" spans="1:17" x14ac:dyDescent="0.25">
      <c r="A36" s="39" t="s">
        <v>300</v>
      </c>
      <c r="B36" s="46" t="s">
        <v>271</v>
      </c>
      <c r="C36" s="39" t="s">
        <v>296</v>
      </c>
      <c r="D36" s="102">
        <v>216607562</v>
      </c>
      <c r="E36" s="102">
        <v>2521593705</v>
      </c>
      <c r="F36" s="39" t="s">
        <v>256</v>
      </c>
      <c r="G36" s="81">
        <f>34913+(364+182)</f>
        <v>35459</v>
      </c>
      <c r="H36" s="50" t="str">
        <f t="shared" si="0"/>
        <v>Jan</v>
      </c>
      <c r="I36" s="51">
        <f t="shared" ca="1" si="1"/>
        <v>19</v>
      </c>
      <c r="J36" s="52" t="s">
        <v>283</v>
      </c>
      <c r="K36" s="53">
        <v>49360</v>
      </c>
      <c r="L36" s="54">
        <v>2</v>
      </c>
      <c r="M36" s="59">
        <f t="shared" si="2"/>
        <v>49360</v>
      </c>
    </row>
    <row r="37" spans="1:17" x14ac:dyDescent="0.25">
      <c r="A37" s="39" t="s">
        <v>605</v>
      </c>
      <c r="B37" s="46" t="s">
        <v>251</v>
      </c>
      <c r="C37" s="39" t="s">
        <v>465</v>
      </c>
      <c r="D37" s="102">
        <v>338977629</v>
      </c>
      <c r="E37" s="102">
        <v>2524252315</v>
      </c>
      <c r="F37" s="39" t="s">
        <v>256</v>
      </c>
      <c r="G37" s="81">
        <f>35255+(364+182)</f>
        <v>35801</v>
      </c>
      <c r="H37" s="50" t="str">
        <f t="shared" si="0"/>
        <v>Jan</v>
      </c>
      <c r="I37" s="51">
        <f t="shared" ca="1" si="1"/>
        <v>18</v>
      </c>
      <c r="J37" s="52" t="s">
        <v>257</v>
      </c>
      <c r="K37" s="53">
        <v>78570</v>
      </c>
      <c r="L37" s="54">
        <v>1</v>
      </c>
      <c r="M37" s="59">
        <f t="shared" si="2"/>
        <v>78570</v>
      </c>
    </row>
    <row r="38" spans="1:17" x14ac:dyDescent="0.25">
      <c r="A38" s="39" t="s">
        <v>927</v>
      </c>
      <c r="B38" s="46" t="s">
        <v>271</v>
      </c>
      <c r="C38" s="39" t="s">
        <v>856</v>
      </c>
      <c r="D38" s="102">
        <v>668708287</v>
      </c>
      <c r="E38" s="102">
        <v>9191952821</v>
      </c>
      <c r="F38" s="39" t="s">
        <v>247</v>
      </c>
      <c r="G38" s="81">
        <f>35260+(364+182)</f>
        <v>35806</v>
      </c>
      <c r="H38" s="50" t="str">
        <f t="shared" si="0"/>
        <v>Jan</v>
      </c>
      <c r="I38" s="51">
        <f t="shared" ca="1" si="1"/>
        <v>18</v>
      </c>
      <c r="J38" s="52"/>
      <c r="K38" s="53">
        <v>86100</v>
      </c>
      <c r="L38" s="54">
        <v>4</v>
      </c>
      <c r="M38" s="59">
        <f t="shared" si="2"/>
        <v>86100</v>
      </c>
      <c r="P38" s="75"/>
      <c r="Q38" s="75"/>
    </row>
    <row r="39" spans="1:17" x14ac:dyDescent="0.25">
      <c r="A39" s="39" t="s">
        <v>471</v>
      </c>
      <c r="B39" s="46" t="s">
        <v>251</v>
      </c>
      <c r="C39" s="39" t="s">
        <v>465</v>
      </c>
      <c r="D39" s="102">
        <v>100679868</v>
      </c>
      <c r="E39" s="102">
        <v>9198082183</v>
      </c>
      <c r="F39" s="39" t="s">
        <v>261</v>
      </c>
      <c r="G39" s="81">
        <f>35261+(364+182)</f>
        <v>35807</v>
      </c>
      <c r="H39" s="50" t="str">
        <f t="shared" si="0"/>
        <v>Jan</v>
      </c>
      <c r="I39" s="51">
        <f t="shared" ca="1" si="1"/>
        <v>18</v>
      </c>
      <c r="J39" s="52" t="s">
        <v>257</v>
      </c>
      <c r="K39" s="53">
        <v>48835</v>
      </c>
      <c r="L39" s="54">
        <v>5</v>
      </c>
      <c r="M39" s="59">
        <f t="shared" si="2"/>
        <v>48835</v>
      </c>
    </row>
    <row r="40" spans="1:17" x14ac:dyDescent="0.25">
      <c r="A40" s="39" t="s">
        <v>792</v>
      </c>
      <c r="B40" s="46" t="s">
        <v>245</v>
      </c>
      <c r="C40" s="39" t="s">
        <v>767</v>
      </c>
      <c r="D40" s="102">
        <v>217968415</v>
      </c>
      <c r="E40" s="102">
        <v>2522814530</v>
      </c>
      <c r="F40" s="39" t="s">
        <v>256</v>
      </c>
      <c r="G40" s="81">
        <f>35275+(364+182)</f>
        <v>35821</v>
      </c>
      <c r="H40" s="50" t="str">
        <f t="shared" si="0"/>
        <v>Jan</v>
      </c>
      <c r="I40" s="51">
        <f t="shared" ca="1" si="1"/>
        <v>18</v>
      </c>
      <c r="J40" s="52" t="s">
        <v>267</v>
      </c>
      <c r="K40" s="53">
        <v>22870</v>
      </c>
      <c r="L40" s="54">
        <v>3</v>
      </c>
      <c r="M40" s="59">
        <f t="shared" si="2"/>
        <v>22870</v>
      </c>
    </row>
    <row r="41" spans="1:17" x14ac:dyDescent="0.25">
      <c r="A41" s="39" t="s">
        <v>803</v>
      </c>
      <c r="B41" s="46" t="s">
        <v>280</v>
      </c>
      <c r="C41" s="39" t="s">
        <v>767</v>
      </c>
      <c r="D41" s="102">
        <v>451159170</v>
      </c>
      <c r="E41" s="102">
        <v>2522604602</v>
      </c>
      <c r="F41" s="39" t="s">
        <v>261</v>
      </c>
      <c r="G41" s="81">
        <f>35280+(364+182)</f>
        <v>35826</v>
      </c>
      <c r="H41" s="50" t="str">
        <f t="shared" si="0"/>
        <v>Jan</v>
      </c>
      <c r="I41" s="51">
        <f t="shared" ca="1" si="1"/>
        <v>18</v>
      </c>
      <c r="J41" s="52" t="s">
        <v>257</v>
      </c>
      <c r="K41" s="53">
        <v>31205</v>
      </c>
      <c r="L41" s="54">
        <v>2</v>
      </c>
      <c r="M41" s="59">
        <f t="shared" si="2"/>
        <v>31205</v>
      </c>
    </row>
    <row r="42" spans="1:17" x14ac:dyDescent="0.25">
      <c r="A42" s="39" t="s">
        <v>929</v>
      </c>
      <c r="B42" s="46" t="s">
        <v>285</v>
      </c>
      <c r="C42" s="39" t="s">
        <v>930</v>
      </c>
      <c r="D42" s="102">
        <v>695198896</v>
      </c>
      <c r="E42" s="102">
        <v>2523533906</v>
      </c>
      <c r="F42" s="39" t="s">
        <v>247</v>
      </c>
      <c r="G42" s="81">
        <f>35280+(364+182)</f>
        <v>35826</v>
      </c>
      <c r="H42" s="50" t="str">
        <f t="shared" si="0"/>
        <v>Jan</v>
      </c>
      <c r="I42" s="51">
        <f t="shared" ca="1" si="1"/>
        <v>18</v>
      </c>
      <c r="J42" s="52"/>
      <c r="K42" s="53">
        <v>45030</v>
      </c>
      <c r="L42" s="54">
        <v>3</v>
      </c>
      <c r="M42" s="59">
        <f t="shared" si="2"/>
        <v>45030</v>
      </c>
    </row>
    <row r="43" spans="1:17" x14ac:dyDescent="0.25">
      <c r="A43" s="45" t="s">
        <v>255</v>
      </c>
      <c r="B43" s="46" t="s">
        <v>245</v>
      </c>
      <c r="C43" s="45" t="s">
        <v>246</v>
      </c>
      <c r="D43" s="106">
        <v>100432924</v>
      </c>
      <c r="E43" s="106">
        <v>4022804104</v>
      </c>
      <c r="F43" s="45" t="s">
        <v>256</v>
      </c>
      <c r="G43" s="105">
        <f>35625+(364+182)</f>
        <v>36171</v>
      </c>
      <c r="H43" s="50" t="str">
        <f t="shared" si="0"/>
        <v>Jan</v>
      </c>
      <c r="I43" s="51">
        <f t="shared" ca="1" si="1"/>
        <v>17</v>
      </c>
      <c r="J43" s="52" t="s">
        <v>257</v>
      </c>
      <c r="K43" s="53">
        <v>24550</v>
      </c>
      <c r="L43" s="54">
        <v>1</v>
      </c>
      <c r="M43" s="59">
        <f t="shared" si="2"/>
        <v>24550</v>
      </c>
      <c r="N43" s="107"/>
      <c r="O43" s="104"/>
    </row>
    <row r="44" spans="1:17" x14ac:dyDescent="0.25">
      <c r="A44" s="39" t="s">
        <v>687</v>
      </c>
      <c r="B44" s="46" t="s">
        <v>271</v>
      </c>
      <c r="C44" s="39" t="s">
        <v>678</v>
      </c>
      <c r="D44" s="102">
        <v>332302868</v>
      </c>
      <c r="E44" s="102">
        <v>9196109756</v>
      </c>
      <c r="F44" s="39" t="s">
        <v>256</v>
      </c>
      <c r="G44" s="81">
        <f>35629+(364+182)</f>
        <v>36175</v>
      </c>
      <c r="H44" s="50" t="str">
        <f t="shared" si="0"/>
        <v>Jan</v>
      </c>
      <c r="I44" s="51">
        <f t="shared" ca="1" si="1"/>
        <v>17</v>
      </c>
      <c r="J44" s="52" t="s">
        <v>283</v>
      </c>
      <c r="K44" s="53">
        <v>23520</v>
      </c>
      <c r="L44" s="54">
        <v>2</v>
      </c>
      <c r="M44" s="59">
        <f t="shared" si="2"/>
        <v>23520</v>
      </c>
    </row>
    <row r="45" spans="1:17" x14ac:dyDescent="0.25">
      <c r="A45" s="39" t="s">
        <v>399</v>
      </c>
      <c r="B45" s="46" t="s">
        <v>251</v>
      </c>
      <c r="C45" s="39" t="s">
        <v>391</v>
      </c>
      <c r="D45" s="102">
        <v>843875501</v>
      </c>
      <c r="E45" s="102">
        <v>2522715355</v>
      </c>
      <c r="F45" s="39" t="s">
        <v>247</v>
      </c>
      <c r="G45" s="81">
        <f>35630+(364+182)</f>
        <v>36176</v>
      </c>
      <c r="H45" s="50" t="str">
        <f t="shared" si="0"/>
        <v>Jan</v>
      </c>
      <c r="I45" s="51">
        <f t="shared" ca="1" si="1"/>
        <v>17</v>
      </c>
      <c r="J45" s="52"/>
      <c r="K45" s="53">
        <v>32940</v>
      </c>
      <c r="L45" s="54">
        <v>5</v>
      </c>
      <c r="M45" s="59">
        <f t="shared" si="2"/>
        <v>32940</v>
      </c>
    </row>
    <row r="46" spans="1:17" x14ac:dyDescent="0.25">
      <c r="A46" s="39" t="s">
        <v>556</v>
      </c>
      <c r="B46" s="46" t="s">
        <v>271</v>
      </c>
      <c r="C46" s="39" t="s">
        <v>465</v>
      </c>
      <c r="D46" s="102">
        <v>569701716</v>
      </c>
      <c r="E46" s="102">
        <v>2527461285</v>
      </c>
      <c r="F46" s="39" t="s">
        <v>261</v>
      </c>
      <c r="G46" s="81">
        <f>35631+(364+182)</f>
        <v>36177</v>
      </c>
      <c r="H46" s="50" t="str">
        <f t="shared" si="0"/>
        <v>Jan</v>
      </c>
      <c r="I46" s="51">
        <f t="shared" ca="1" si="1"/>
        <v>17</v>
      </c>
      <c r="J46" s="52" t="s">
        <v>267</v>
      </c>
      <c r="K46" s="53">
        <v>21670</v>
      </c>
      <c r="L46" s="54">
        <v>2</v>
      </c>
      <c r="M46" s="59">
        <f t="shared" si="2"/>
        <v>21670</v>
      </c>
    </row>
    <row r="47" spans="1:17" x14ac:dyDescent="0.25">
      <c r="A47" s="39" t="s">
        <v>383</v>
      </c>
      <c r="B47" s="46" t="s">
        <v>280</v>
      </c>
      <c r="C47" s="39" t="s">
        <v>381</v>
      </c>
      <c r="D47" s="102">
        <v>313651312</v>
      </c>
      <c r="E47" s="102">
        <v>2526092172</v>
      </c>
      <c r="F47" s="39" t="s">
        <v>256</v>
      </c>
      <c r="G47" s="81">
        <f>35636+(364+182)</f>
        <v>36182</v>
      </c>
      <c r="H47" s="50" t="str">
        <f t="shared" si="0"/>
        <v>Jan</v>
      </c>
      <c r="I47" s="51">
        <f t="shared" ca="1" si="1"/>
        <v>17</v>
      </c>
      <c r="J47" s="52" t="s">
        <v>283</v>
      </c>
      <c r="K47" s="53">
        <v>68300</v>
      </c>
      <c r="L47" s="54">
        <v>5</v>
      </c>
      <c r="M47" s="59">
        <f t="shared" si="2"/>
        <v>68300</v>
      </c>
    </row>
    <row r="48" spans="1:17" x14ac:dyDescent="0.25">
      <c r="A48" s="39" t="s">
        <v>855</v>
      </c>
      <c r="B48" s="46" t="s">
        <v>285</v>
      </c>
      <c r="C48" s="39" t="s">
        <v>856</v>
      </c>
      <c r="D48" s="102">
        <v>337411408</v>
      </c>
      <c r="E48" s="102">
        <v>9194729409</v>
      </c>
      <c r="F48" s="39" t="s">
        <v>256</v>
      </c>
      <c r="G48" s="81">
        <f>35980+(364+182)</f>
        <v>36526</v>
      </c>
      <c r="H48" s="50" t="str">
        <f t="shared" si="0"/>
        <v>Jan</v>
      </c>
      <c r="I48" s="51">
        <f t="shared" ca="1" si="1"/>
        <v>16</v>
      </c>
      <c r="J48" s="52" t="s">
        <v>257</v>
      </c>
      <c r="K48" s="53">
        <v>29260</v>
      </c>
      <c r="L48" s="54">
        <v>4</v>
      </c>
      <c r="M48" s="59">
        <f t="shared" si="2"/>
        <v>29260</v>
      </c>
    </row>
    <row r="49" spans="1:17" x14ac:dyDescent="0.25">
      <c r="A49" s="39" t="s">
        <v>895</v>
      </c>
      <c r="B49" s="46" t="s">
        <v>271</v>
      </c>
      <c r="C49" s="39" t="s">
        <v>856</v>
      </c>
      <c r="D49" s="102">
        <v>836953739</v>
      </c>
      <c r="E49" s="102">
        <v>2526443692</v>
      </c>
      <c r="F49" s="39" t="s">
        <v>261</v>
      </c>
      <c r="G49" s="81">
        <f>35985+(364+182)</f>
        <v>36531</v>
      </c>
      <c r="H49" s="50" t="str">
        <f t="shared" si="0"/>
        <v>Jan</v>
      </c>
      <c r="I49" s="51">
        <f t="shared" ca="1" si="1"/>
        <v>16</v>
      </c>
      <c r="J49" s="52" t="s">
        <v>267</v>
      </c>
      <c r="K49" s="53">
        <v>20990</v>
      </c>
      <c r="L49" s="54">
        <v>4</v>
      </c>
      <c r="M49" s="59">
        <f t="shared" si="2"/>
        <v>20990</v>
      </c>
    </row>
    <row r="50" spans="1:17" x14ac:dyDescent="0.25">
      <c r="A50" s="39" t="s">
        <v>569</v>
      </c>
      <c r="B50" s="46" t="s">
        <v>271</v>
      </c>
      <c r="C50" s="39" t="s">
        <v>465</v>
      </c>
      <c r="D50" s="102">
        <v>914326052</v>
      </c>
      <c r="E50" s="102">
        <v>2524249228</v>
      </c>
      <c r="F50" s="39" t="s">
        <v>256</v>
      </c>
      <c r="G50" s="81">
        <f>35989+(364+182)</f>
        <v>36535</v>
      </c>
      <c r="H50" s="50" t="str">
        <f t="shared" si="0"/>
        <v>Jan</v>
      </c>
      <c r="I50" s="51">
        <f t="shared" ca="1" si="1"/>
        <v>16</v>
      </c>
      <c r="J50" s="52" t="s">
        <v>257</v>
      </c>
      <c r="K50" s="53">
        <v>76192</v>
      </c>
      <c r="L50" s="54">
        <v>4</v>
      </c>
      <c r="M50" s="59">
        <f t="shared" si="2"/>
        <v>76192</v>
      </c>
    </row>
    <row r="51" spans="1:17" x14ac:dyDescent="0.25">
      <c r="A51" s="39" t="s">
        <v>806</v>
      </c>
      <c r="B51" s="46" t="s">
        <v>271</v>
      </c>
      <c r="C51" s="39" t="s">
        <v>767</v>
      </c>
      <c r="D51" s="102">
        <v>113252240</v>
      </c>
      <c r="E51" s="102">
        <v>2526712695</v>
      </c>
      <c r="F51" s="39" t="s">
        <v>256</v>
      </c>
      <c r="G51" s="81">
        <f>35990+(364+182)</f>
        <v>36536</v>
      </c>
      <c r="H51" s="50" t="str">
        <f t="shared" si="0"/>
        <v>Jan</v>
      </c>
      <c r="I51" s="51">
        <f t="shared" ca="1" si="1"/>
        <v>16</v>
      </c>
      <c r="J51" s="52" t="s">
        <v>257</v>
      </c>
      <c r="K51" s="53">
        <v>62400</v>
      </c>
      <c r="L51" s="54">
        <v>4</v>
      </c>
      <c r="M51" s="59">
        <f t="shared" si="2"/>
        <v>62400</v>
      </c>
    </row>
    <row r="52" spans="1:17" x14ac:dyDescent="0.25">
      <c r="A52" s="39" t="s">
        <v>931</v>
      </c>
      <c r="B52" s="46" t="s">
        <v>285</v>
      </c>
      <c r="C52" s="39" t="s">
        <v>930</v>
      </c>
      <c r="D52" s="102">
        <v>380304349</v>
      </c>
      <c r="E52" s="102">
        <v>2526129939</v>
      </c>
      <c r="F52" s="39" t="s">
        <v>256</v>
      </c>
      <c r="G52" s="81">
        <f>36003+(364+182)</f>
        <v>36549</v>
      </c>
      <c r="H52" s="50" t="str">
        <f t="shared" si="0"/>
        <v>Jan</v>
      </c>
      <c r="I52" s="51">
        <f t="shared" ca="1" si="1"/>
        <v>16</v>
      </c>
      <c r="J52" s="52" t="s">
        <v>283</v>
      </c>
      <c r="K52" s="53">
        <v>35460</v>
      </c>
      <c r="L52" s="54">
        <v>1</v>
      </c>
      <c r="M52" s="59">
        <f t="shared" si="2"/>
        <v>35460</v>
      </c>
    </row>
    <row r="53" spans="1:17" x14ac:dyDescent="0.25">
      <c r="A53" s="39" t="s">
        <v>303</v>
      </c>
      <c r="B53" s="46" t="s">
        <v>245</v>
      </c>
      <c r="C53" s="39" t="s">
        <v>296</v>
      </c>
      <c r="D53" s="102">
        <v>278431222</v>
      </c>
      <c r="E53" s="102">
        <v>9196699611</v>
      </c>
      <c r="F53" s="39" t="s">
        <v>256</v>
      </c>
      <c r="G53" s="81">
        <f>36347+(364+182)</f>
        <v>36893</v>
      </c>
      <c r="H53" s="50" t="str">
        <f t="shared" si="0"/>
        <v>Jan</v>
      </c>
      <c r="I53" s="51">
        <f t="shared" ca="1" si="1"/>
        <v>15</v>
      </c>
      <c r="J53" s="52" t="s">
        <v>283</v>
      </c>
      <c r="K53" s="53">
        <v>33640</v>
      </c>
      <c r="L53" s="54">
        <v>3</v>
      </c>
      <c r="M53" s="59">
        <f t="shared" si="2"/>
        <v>33640</v>
      </c>
      <c r="P53" s="75"/>
      <c r="Q53" s="75"/>
    </row>
    <row r="54" spans="1:17" x14ac:dyDescent="0.25">
      <c r="A54" s="39" t="s">
        <v>358</v>
      </c>
      <c r="B54" s="46" t="s">
        <v>266</v>
      </c>
      <c r="C54" s="39" t="s">
        <v>312</v>
      </c>
      <c r="D54" s="102">
        <v>867671341</v>
      </c>
      <c r="E54" s="102">
        <v>2528317543</v>
      </c>
      <c r="F54" s="39" t="s">
        <v>261</v>
      </c>
      <c r="G54" s="81">
        <f>36350+(364+182)</f>
        <v>36896</v>
      </c>
      <c r="H54" s="50" t="str">
        <f t="shared" si="0"/>
        <v>Jan</v>
      </c>
      <c r="I54" s="51">
        <f t="shared" ca="1" si="1"/>
        <v>15</v>
      </c>
      <c r="J54" s="52" t="s">
        <v>257</v>
      </c>
      <c r="K54" s="53">
        <v>35280</v>
      </c>
      <c r="L54" s="54">
        <v>3</v>
      </c>
      <c r="M54" s="59">
        <f t="shared" si="2"/>
        <v>35280</v>
      </c>
    </row>
    <row r="55" spans="1:17" x14ac:dyDescent="0.25">
      <c r="A55" s="39" t="s">
        <v>698</v>
      </c>
      <c r="B55" s="46" t="s">
        <v>271</v>
      </c>
      <c r="C55" s="39" t="s">
        <v>678</v>
      </c>
      <c r="D55" s="102">
        <v>221364716</v>
      </c>
      <c r="E55" s="102">
        <v>2521389906</v>
      </c>
      <c r="F55" s="39" t="s">
        <v>256</v>
      </c>
      <c r="G55" s="81">
        <f>36352+(364+182)</f>
        <v>36898</v>
      </c>
      <c r="H55" s="50" t="str">
        <f t="shared" si="0"/>
        <v>Jan</v>
      </c>
      <c r="I55" s="51">
        <f t="shared" ca="1" si="1"/>
        <v>15</v>
      </c>
      <c r="J55" s="52" t="s">
        <v>257</v>
      </c>
      <c r="K55" s="53">
        <v>71820</v>
      </c>
      <c r="L55" s="54">
        <v>2</v>
      </c>
      <c r="M55" s="59">
        <f t="shared" si="2"/>
        <v>71820</v>
      </c>
    </row>
    <row r="56" spans="1:17" x14ac:dyDescent="0.25">
      <c r="A56" s="39" t="s">
        <v>999</v>
      </c>
      <c r="B56" s="46" t="s">
        <v>285</v>
      </c>
      <c r="C56" s="39" t="s">
        <v>930</v>
      </c>
      <c r="D56" s="102">
        <v>879114558</v>
      </c>
      <c r="E56" s="102">
        <v>9194557504</v>
      </c>
      <c r="F56" s="39" t="s">
        <v>261</v>
      </c>
      <c r="G56" s="81">
        <f>36372+(364+182)</f>
        <v>36918</v>
      </c>
      <c r="H56" s="50" t="str">
        <f t="shared" si="0"/>
        <v>Jan</v>
      </c>
      <c r="I56" s="51">
        <f t="shared" ca="1" si="1"/>
        <v>15</v>
      </c>
      <c r="J56" s="52" t="s">
        <v>257</v>
      </c>
      <c r="K56" s="53">
        <v>17205</v>
      </c>
      <c r="L56" s="54">
        <v>5</v>
      </c>
      <c r="M56" s="59">
        <f t="shared" si="2"/>
        <v>17205</v>
      </c>
    </row>
    <row r="57" spans="1:17" x14ac:dyDescent="0.25">
      <c r="A57" s="39" t="s">
        <v>864</v>
      </c>
      <c r="B57" s="46" t="s">
        <v>266</v>
      </c>
      <c r="C57" s="39" t="s">
        <v>856</v>
      </c>
      <c r="D57" s="102">
        <v>313648228</v>
      </c>
      <c r="E57" s="102">
        <v>2524998145</v>
      </c>
      <c r="F57" s="39" t="s">
        <v>256</v>
      </c>
      <c r="G57" s="81">
        <f>37079+(364+182)</f>
        <v>37625</v>
      </c>
      <c r="H57" s="50" t="str">
        <f t="shared" si="0"/>
        <v>Jan</v>
      </c>
      <c r="I57" s="51">
        <f t="shared" ca="1" si="1"/>
        <v>13</v>
      </c>
      <c r="J57" s="52" t="s">
        <v>283</v>
      </c>
      <c r="K57" s="53">
        <v>82490</v>
      </c>
      <c r="L57" s="54">
        <v>5</v>
      </c>
      <c r="M57" s="59">
        <f t="shared" si="2"/>
        <v>82490</v>
      </c>
    </row>
    <row r="58" spans="1:17" x14ac:dyDescent="0.25">
      <c r="A58" s="39" t="s">
        <v>588</v>
      </c>
      <c r="B58" s="46" t="s">
        <v>285</v>
      </c>
      <c r="C58" s="39" t="s">
        <v>465</v>
      </c>
      <c r="D58" s="102">
        <v>948480407</v>
      </c>
      <c r="E58" s="102">
        <v>9191449596</v>
      </c>
      <c r="F58" s="39" t="s">
        <v>247</v>
      </c>
      <c r="G58" s="81">
        <f>37088+(364+182)</f>
        <v>37634</v>
      </c>
      <c r="H58" s="50" t="str">
        <f t="shared" si="0"/>
        <v>Jan</v>
      </c>
      <c r="I58" s="51">
        <f t="shared" ca="1" si="1"/>
        <v>13</v>
      </c>
      <c r="J58" s="52"/>
      <c r="K58" s="53">
        <v>61370</v>
      </c>
      <c r="L58" s="54">
        <v>3</v>
      </c>
      <c r="M58" s="59">
        <f t="shared" si="2"/>
        <v>61370</v>
      </c>
      <c r="P58" s="75"/>
      <c r="Q58" s="75"/>
    </row>
    <row r="59" spans="1:17" x14ac:dyDescent="0.25">
      <c r="A59" s="39" t="s">
        <v>418</v>
      </c>
      <c r="B59" s="46" t="s">
        <v>285</v>
      </c>
      <c r="C59" s="39" t="s">
        <v>417</v>
      </c>
      <c r="D59" s="102">
        <v>575648597</v>
      </c>
      <c r="E59" s="102">
        <v>9198865267</v>
      </c>
      <c r="F59" s="39" t="s">
        <v>247</v>
      </c>
      <c r="G59" s="81">
        <f>37095+(364+182)</f>
        <v>37641</v>
      </c>
      <c r="H59" s="50" t="str">
        <f t="shared" si="0"/>
        <v>Jan</v>
      </c>
      <c r="I59" s="51">
        <f t="shared" ca="1" si="1"/>
        <v>13</v>
      </c>
      <c r="J59" s="52"/>
      <c r="K59" s="53">
        <v>31970</v>
      </c>
      <c r="L59" s="54">
        <v>5</v>
      </c>
      <c r="M59" s="59">
        <f t="shared" si="2"/>
        <v>31970</v>
      </c>
    </row>
    <row r="60" spans="1:17" x14ac:dyDescent="0.25">
      <c r="A60" s="39" t="s">
        <v>893</v>
      </c>
      <c r="B60" s="46" t="s">
        <v>280</v>
      </c>
      <c r="C60" s="39" t="s">
        <v>856</v>
      </c>
      <c r="D60" s="102">
        <v>666194498</v>
      </c>
      <c r="E60" s="102">
        <v>2526593848</v>
      </c>
      <c r="F60" s="39" t="s">
        <v>256</v>
      </c>
      <c r="G60" s="81">
        <f>37807+(364+182)</f>
        <v>38353</v>
      </c>
      <c r="H60" s="50" t="str">
        <f t="shared" si="0"/>
        <v>Jan</v>
      </c>
      <c r="I60" s="51">
        <f t="shared" ca="1" si="1"/>
        <v>11</v>
      </c>
      <c r="J60" s="52" t="s">
        <v>283</v>
      </c>
      <c r="K60" s="53">
        <v>83710</v>
      </c>
      <c r="L60" s="54">
        <v>3</v>
      </c>
      <c r="M60" s="59">
        <f t="shared" si="2"/>
        <v>83710</v>
      </c>
      <c r="P60" s="75"/>
      <c r="Q60" s="75"/>
    </row>
    <row r="61" spans="1:17" x14ac:dyDescent="0.25">
      <c r="A61" s="39" t="s">
        <v>627</v>
      </c>
      <c r="B61" s="46" t="s">
        <v>285</v>
      </c>
      <c r="C61" s="39" t="s">
        <v>626</v>
      </c>
      <c r="D61" s="102">
        <v>364404060</v>
      </c>
      <c r="E61" s="102">
        <v>2527722509</v>
      </c>
      <c r="F61" s="39" t="s">
        <v>261</v>
      </c>
      <c r="G61" s="81">
        <f>37816+(364+182)</f>
        <v>38362</v>
      </c>
      <c r="H61" s="50" t="str">
        <f t="shared" si="0"/>
        <v>Jan</v>
      </c>
      <c r="I61" s="51">
        <f t="shared" ca="1" si="1"/>
        <v>11</v>
      </c>
      <c r="J61" s="52" t="s">
        <v>257</v>
      </c>
      <c r="K61" s="53">
        <v>31255</v>
      </c>
      <c r="L61" s="54">
        <v>5</v>
      </c>
      <c r="M61" s="59">
        <f t="shared" si="2"/>
        <v>31255</v>
      </c>
    </row>
    <row r="62" spans="1:17" x14ac:dyDescent="0.25">
      <c r="A62" s="39" t="s">
        <v>499</v>
      </c>
      <c r="B62" s="46" t="s">
        <v>280</v>
      </c>
      <c r="C62" s="39" t="s">
        <v>465</v>
      </c>
      <c r="D62" s="102">
        <v>620336005</v>
      </c>
      <c r="E62" s="102">
        <v>9196422185</v>
      </c>
      <c r="F62" s="39" t="s">
        <v>256</v>
      </c>
      <c r="G62" s="81">
        <f>37831+(364+182)</f>
        <v>38377</v>
      </c>
      <c r="H62" s="50" t="str">
        <f t="shared" si="0"/>
        <v>Jan</v>
      </c>
      <c r="I62" s="51">
        <f t="shared" ca="1" si="1"/>
        <v>11</v>
      </c>
      <c r="J62" s="52" t="s">
        <v>257</v>
      </c>
      <c r="K62" s="53">
        <v>41060</v>
      </c>
      <c r="L62" s="54">
        <v>3</v>
      </c>
      <c r="M62" s="59">
        <f t="shared" si="2"/>
        <v>41060</v>
      </c>
    </row>
    <row r="63" spans="1:17" x14ac:dyDescent="0.25">
      <c r="A63" s="39" t="s">
        <v>608</v>
      </c>
      <c r="B63" s="46" t="s">
        <v>285</v>
      </c>
      <c r="C63" s="39" t="s">
        <v>465</v>
      </c>
      <c r="D63" s="102">
        <v>564908088</v>
      </c>
      <c r="E63" s="102">
        <v>9193386758</v>
      </c>
      <c r="F63" s="39" t="s">
        <v>256</v>
      </c>
      <c r="G63" s="81">
        <f>37831+(364+182)</f>
        <v>38377</v>
      </c>
      <c r="H63" s="50" t="str">
        <f t="shared" si="0"/>
        <v>Jan</v>
      </c>
      <c r="I63" s="51">
        <f t="shared" ca="1" si="1"/>
        <v>11</v>
      </c>
      <c r="J63" s="52" t="s">
        <v>257</v>
      </c>
      <c r="K63" s="53">
        <v>87760</v>
      </c>
      <c r="L63" s="54">
        <v>1</v>
      </c>
      <c r="M63" s="59">
        <f t="shared" si="2"/>
        <v>87760</v>
      </c>
    </row>
    <row r="64" spans="1:17" x14ac:dyDescent="0.25">
      <c r="A64" s="39" t="s">
        <v>811</v>
      </c>
      <c r="B64" s="46" t="s">
        <v>266</v>
      </c>
      <c r="C64" s="39" t="s">
        <v>767</v>
      </c>
      <c r="D64" s="102">
        <v>437460422</v>
      </c>
      <c r="E64" s="102">
        <v>2528439277</v>
      </c>
      <c r="F64" s="39" t="s">
        <v>261</v>
      </c>
      <c r="G64" s="81">
        <f>38177+(364+182)</f>
        <v>38723</v>
      </c>
      <c r="H64" s="50" t="str">
        <f t="shared" si="0"/>
        <v>Jan</v>
      </c>
      <c r="I64" s="51">
        <f t="shared" ca="1" si="1"/>
        <v>10</v>
      </c>
      <c r="J64" s="52" t="s">
        <v>283</v>
      </c>
      <c r="K64" s="53">
        <v>10630</v>
      </c>
      <c r="L64" s="54">
        <v>3</v>
      </c>
      <c r="M64" s="59">
        <f t="shared" si="2"/>
        <v>10630</v>
      </c>
    </row>
    <row r="65" spans="1:15" x14ac:dyDescent="0.25">
      <c r="A65" s="39" t="s">
        <v>507</v>
      </c>
      <c r="B65" s="46" t="s">
        <v>245</v>
      </c>
      <c r="C65" s="39" t="s">
        <v>465</v>
      </c>
      <c r="D65" s="102">
        <v>405396173</v>
      </c>
      <c r="E65" s="102">
        <v>2521777060</v>
      </c>
      <c r="F65" s="39" t="s">
        <v>256</v>
      </c>
      <c r="G65" s="81">
        <f>38187+(364+182)</f>
        <v>38733</v>
      </c>
      <c r="H65" s="50" t="str">
        <f t="shared" si="0"/>
        <v>Jan</v>
      </c>
      <c r="I65" s="51">
        <f t="shared" ca="1" si="1"/>
        <v>10</v>
      </c>
      <c r="J65" s="52" t="s">
        <v>276</v>
      </c>
      <c r="K65" s="53">
        <v>68710</v>
      </c>
      <c r="L65" s="54">
        <v>4</v>
      </c>
      <c r="M65" s="59">
        <f t="shared" si="2"/>
        <v>68710</v>
      </c>
    </row>
    <row r="66" spans="1:15" x14ac:dyDescent="0.25">
      <c r="A66" s="39" t="s">
        <v>593</v>
      </c>
      <c r="B66" s="46" t="s">
        <v>245</v>
      </c>
      <c r="C66" s="39" t="s">
        <v>465</v>
      </c>
      <c r="D66" s="102">
        <v>328787467</v>
      </c>
      <c r="E66" s="102">
        <v>9194897618</v>
      </c>
      <c r="F66" s="39" t="s">
        <v>252</v>
      </c>
      <c r="G66" s="81">
        <f>38541+(364+182)</f>
        <v>39087</v>
      </c>
      <c r="H66" s="50" t="str">
        <f t="shared" si="0"/>
        <v>Jan</v>
      </c>
      <c r="I66" s="51">
        <f t="shared" ca="1" si="1"/>
        <v>9</v>
      </c>
      <c r="J66" s="52"/>
      <c r="K66" s="53">
        <v>14416</v>
      </c>
      <c r="L66" s="54">
        <v>4</v>
      </c>
      <c r="M66" s="59">
        <f t="shared" si="2"/>
        <v>14416</v>
      </c>
    </row>
    <row r="67" spans="1:15" x14ac:dyDescent="0.25">
      <c r="A67" s="39" t="s">
        <v>629</v>
      </c>
      <c r="B67" s="46" t="s">
        <v>245</v>
      </c>
      <c r="C67" s="39" t="s">
        <v>626</v>
      </c>
      <c r="D67" s="102">
        <v>980960186</v>
      </c>
      <c r="E67" s="102">
        <v>9191517218</v>
      </c>
      <c r="F67" s="39" t="s">
        <v>261</v>
      </c>
      <c r="G67" s="81">
        <f>38552+(364+182)</f>
        <v>39098</v>
      </c>
      <c r="H67" s="50" t="str">
        <f t="shared" ref="H67:H130" si="3">CHOOSE(MONTH(G67),"Jan","Feb","Mar","Apr","May","Jun","Jul","Aug","Sep","Oct","Nov","Dec")</f>
        <v>Jan</v>
      </c>
      <c r="I67" s="51">
        <f t="shared" ref="I67:I130" ca="1" si="4">DATEDIF(G67,TODAY(),"Y")</f>
        <v>9</v>
      </c>
      <c r="J67" s="52" t="s">
        <v>283</v>
      </c>
      <c r="K67" s="53">
        <v>47705</v>
      </c>
      <c r="L67" s="54">
        <v>5</v>
      </c>
      <c r="M67" s="59">
        <f t="shared" ref="M67:M130" si="5">ROUND(K67*P65+K67,0)</f>
        <v>47705</v>
      </c>
    </row>
    <row r="68" spans="1:15" x14ac:dyDescent="0.25">
      <c r="A68" s="39" t="s">
        <v>501</v>
      </c>
      <c r="B68" s="46" t="s">
        <v>266</v>
      </c>
      <c r="C68" s="39" t="s">
        <v>465</v>
      </c>
      <c r="D68" s="102">
        <v>292993080</v>
      </c>
      <c r="E68" s="102">
        <v>2525085320</v>
      </c>
      <c r="F68" s="39" t="s">
        <v>256</v>
      </c>
      <c r="G68" s="81">
        <f>38909+(364+182)</f>
        <v>39455</v>
      </c>
      <c r="H68" s="50" t="str">
        <f t="shared" si="3"/>
        <v>Jan</v>
      </c>
      <c r="I68" s="51">
        <f t="shared" ca="1" si="4"/>
        <v>8</v>
      </c>
      <c r="J68" s="52" t="s">
        <v>283</v>
      </c>
      <c r="K68" s="53">
        <v>59420</v>
      </c>
      <c r="L68" s="54">
        <v>4</v>
      </c>
      <c r="M68" s="59">
        <f t="shared" si="5"/>
        <v>59420</v>
      </c>
    </row>
    <row r="69" spans="1:15" x14ac:dyDescent="0.25">
      <c r="A69" s="39" t="s">
        <v>905</v>
      </c>
      <c r="B69" s="46" t="s">
        <v>245</v>
      </c>
      <c r="C69" s="39" t="s">
        <v>856</v>
      </c>
      <c r="D69" s="102">
        <v>855135948</v>
      </c>
      <c r="E69" s="102">
        <v>9196408497</v>
      </c>
      <c r="F69" s="39" t="s">
        <v>256</v>
      </c>
      <c r="G69" s="81">
        <f>39269+(364+182)</f>
        <v>39815</v>
      </c>
      <c r="H69" s="50" t="str">
        <f t="shared" si="3"/>
        <v>Jan</v>
      </c>
      <c r="I69" s="51">
        <f t="shared" ca="1" si="4"/>
        <v>7</v>
      </c>
      <c r="J69" s="52" t="s">
        <v>283</v>
      </c>
      <c r="K69" s="53">
        <v>72060</v>
      </c>
      <c r="L69" s="54">
        <v>2</v>
      </c>
      <c r="M69" s="59">
        <f t="shared" si="5"/>
        <v>72060</v>
      </c>
    </row>
    <row r="70" spans="1:15" x14ac:dyDescent="0.25">
      <c r="A70" s="39" t="s">
        <v>500</v>
      </c>
      <c r="B70" s="46" t="s">
        <v>245</v>
      </c>
      <c r="C70" s="39" t="s">
        <v>465</v>
      </c>
      <c r="D70" s="102">
        <v>436778229</v>
      </c>
      <c r="E70" s="102">
        <v>2525871924</v>
      </c>
      <c r="F70" s="39" t="s">
        <v>247</v>
      </c>
      <c r="G70" s="81">
        <f>39276+(364+182)</f>
        <v>39822</v>
      </c>
      <c r="H70" s="50" t="str">
        <f t="shared" si="3"/>
        <v>Jan</v>
      </c>
      <c r="I70" s="51">
        <f t="shared" ca="1" si="4"/>
        <v>7</v>
      </c>
      <c r="J70" s="52"/>
      <c r="K70" s="53">
        <v>60040</v>
      </c>
      <c r="L70" s="54">
        <v>5</v>
      </c>
      <c r="M70" s="59">
        <f t="shared" si="5"/>
        <v>60040</v>
      </c>
    </row>
    <row r="71" spans="1:15" x14ac:dyDescent="0.25">
      <c r="A71" s="39" t="s">
        <v>589</v>
      </c>
      <c r="B71" s="46" t="s">
        <v>245</v>
      </c>
      <c r="C71" s="39" t="s">
        <v>465</v>
      </c>
      <c r="D71" s="102">
        <v>159117255</v>
      </c>
      <c r="E71" s="102">
        <v>9198426889</v>
      </c>
      <c r="F71" s="39" t="s">
        <v>247</v>
      </c>
      <c r="G71" s="81">
        <f>39284+(364+182)</f>
        <v>39830</v>
      </c>
      <c r="H71" s="50" t="str">
        <f t="shared" si="3"/>
        <v>Jan</v>
      </c>
      <c r="I71" s="51">
        <f t="shared" ca="1" si="4"/>
        <v>7</v>
      </c>
      <c r="J71" s="52"/>
      <c r="K71" s="53">
        <v>78520</v>
      </c>
      <c r="L71" s="54">
        <v>4</v>
      </c>
      <c r="M71" s="59">
        <f t="shared" si="5"/>
        <v>78520</v>
      </c>
    </row>
    <row r="72" spans="1:15" x14ac:dyDescent="0.25">
      <c r="A72" s="39" t="s">
        <v>547</v>
      </c>
      <c r="B72" s="46" t="s">
        <v>285</v>
      </c>
      <c r="C72" s="39" t="s">
        <v>465</v>
      </c>
      <c r="D72" s="102">
        <v>798466688</v>
      </c>
      <c r="E72" s="102">
        <v>9192232339</v>
      </c>
      <c r="F72" s="39" t="s">
        <v>256</v>
      </c>
      <c r="G72" s="81">
        <f>39657+(364+182)</f>
        <v>40203</v>
      </c>
      <c r="H72" s="50" t="str">
        <f t="shared" si="3"/>
        <v>Jan</v>
      </c>
      <c r="I72" s="51">
        <f t="shared" ca="1" si="4"/>
        <v>6</v>
      </c>
      <c r="J72" s="52" t="s">
        <v>257</v>
      </c>
      <c r="K72" s="53">
        <v>35600</v>
      </c>
      <c r="L72" s="54">
        <v>5</v>
      </c>
      <c r="M72" s="59">
        <f t="shared" si="5"/>
        <v>35600</v>
      </c>
    </row>
    <row r="73" spans="1:15" x14ac:dyDescent="0.25">
      <c r="A73" s="39" t="s">
        <v>644</v>
      </c>
      <c r="B73" s="46" t="s">
        <v>271</v>
      </c>
      <c r="C73" s="39" t="s">
        <v>626</v>
      </c>
      <c r="D73" s="102">
        <v>649234799</v>
      </c>
      <c r="E73" s="102">
        <v>2521588597</v>
      </c>
      <c r="F73" s="39" t="s">
        <v>256</v>
      </c>
      <c r="G73" s="81">
        <f>39663+(364+182)</f>
        <v>40209</v>
      </c>
      <c r="H73" s="50" t="str">
        <f t="shared" si="3"/>
        <v>Jan</v>
      </c>
      <c r="I73" s="51">
        <f t="shared" ca="1" si="4"/>
        <v>6</v>
      </c>
      <c r="J73" s="52" t="s">
        <v>283</v>
      </c>
      <c r="K73" s="53">
        <v>45260</v>
      </c>
      <c r="L73" s="54">
        <v>4</v>
      </c>
      <c r="M73" s="59">
        <f t="shared" si="5"/>
        <v>45260</v>
      </c>
    </row>
    <row r="74" spans="1:15" x14ac:dyDescent="0.25">
      <c r="A74" s="39" t="s">
        <v>973</v>
      </c>
      <c r="B74" s="46" t="s">
        <v>285</v>
      </c>
      <c r="C74" s="39" t="s">
        <v>930</v>
      </c>
      <c r="D74" s="102">
        <v>151532569</v>
      </c>
      <c r="E74" s="102">
        <v>2525202015</v>
      </c>
      <c r="F74" s="39" t="s">
        <v>247</v>
      </c>
      <c r="G74" s="103">
        <f>40017+(364+182)</f>
        <v>40563</v>
      </c>
      <c r="H74" s="50" t="str">
        <f t="shared" si="3"/>
        <v>Jan</v>
      </c>
      <c r="I74" s="51">
        <f t="shared" ca="1" si="4"/>
        <v>5</v>
      </c>
      <c r="J74" s="52"/>
      <c r="K74" s="53">
        <v>55510</v>
      </c>
      <c r="L74" s="54">
        <v>3</v>
      </c>
      <c r="M74" s="59">
        <f t="shared" si="5"/>
        <v>55510</v>
      </c>
    </row>
    <row r="75" spans="1:15" x14ac:dyDescent="0.25">
      <c r="A75" s="39" t="s">
        <v>1014</v>
      </c>
      <c r="B75" s="46" t="s">
        <v>285</v>
      </c>
      <c r="C75" s="39" t="s">
        <v>930</v>
      </c>
      <c r="D75" s="102">
        <v>121173068</v>
      </c>
      <c r="E75" s="102">
        <v>9196778600</v>
      </c>
      <c r="F75" s="39" t="s">
        <v>256</v>
      </c>
      <c r="G75" s="81">
        <f>40022+(364+182)</f>
        <v>40568</v>
      </c>
      <c r="H75" s="50" t="str">
        <f t="shared" si="3"/>
        <v>Jan</v>
      </c>
      <c r="I75" s="51">
        <f t="shared" ca="1" si="4"/>
        <v>5</v>
      </c>
      <c r="J75" s="52" t="s">
        <v>257</v>
      </c>
      <c r="K75" s="53">
        <v>46390</v>
      </c>
      <c r="L75" s="54">
        <v>5</v>
      </c>
      <c r="M75" s="59">
        <f t="shared" si="5"/>
        <v>46390</v>
      </c>
    </row>
    <row r="76" spans="1:15" x14ac:dyDescent="0.25">
      <c r="A76" s="39" t="s">
        <v>380</v>
      </c>
      <c r="B76" s="46" t="s">
        <v>285</v>
      </c>
      <c r="C76" s="39" t="s">
        <v>381</v>
      </c>
      <c r="D76" s="102">
        <v>124203063</v>
      </c>
      <c r="E76" s="102">
        <v>9192229885</v>
      </c>
      <c r="F76" s="39" t="s">
        <v>261</v>
      </c>
      <c r="G76" s="81">
        <f>40026+(364+182)</f>
        <v>40572</v>
      </c>
      <c r="H76" s="50" t="str">
        <f t="shared" si="3"/>
        <v>Jan</v>
      </c>
      <c r="I76" s="51">
        <f t="shared" ca="1" si="4"/>
        <v>5</v>
      </c>
      <c r="J76" s="52" t="s">
        <v>283</v>
      </c>
      <c r="K76" s="53">
        <v>10520</v>
      </c>
      <c r="L76" s="54">
        <v>4</v>
      </c>
      <c r="M76" s="59">
        <f t="shared" si="5"/>
        <v>10520</v>
      </c>
      <c r="O76" s="101"/>
    </row>
    <row r="77" spans="1:15" x14ac:dyDescent="0.25">
      <c r="A77" s="39" t="s">
        <v>485</v>
      </c>
      <c r="B77" s="46" t="s">
        <v>271</v>
      </c>
      <c r="C77" s="39" t="s">
        <v>465</v>
      </c>
      <c r="D77" s="102">
        <v>665773893</v>
      </c>
      <c r="E77" s="102">
        <v>9198857217</v>
      </c>
      <c r="F77" s="39" t="s">
        <v>252</v>
      </c>
      <c r="G77" s="81">
        <f>40028+(364+182)</f>
        <v>40574</v>
      </c>
      <c r="H77" s="50" t="str">
        <f t="shared" si="3"/>
        <v>Jan</v>
      </c>
      <c r="I77" s="51">
        <f t="shared" ca="1" si="4"/>
        <v>5</v>
      </c>
      <c r="J77" s="52"/>
      <c r="K77" s="53">
        <v>28424</v>
      </c>
      <c r="L77" s="54">
        <v>4</v>
      </c>
      <c r="M77" s="59">
        <f t="shared" si="5"/>
        <v>28424</v>
      </c>
    </row>
    <row r="78" spans="1:15" x14ac:dyDescent="0.25">
      <c r="A78" s="39" t="s">
        <v>978</v>
      </c>
      <c r="B78" s="46" t="s">
        <v>271</v>
      </c>
      <c r="C78" s="39" t="s">
        <v>930</v>
      </c>
      <c r="D78" s="102">
        <v>657835603</v>
      </c>
      <c r="E78" s="102">
        <v>2526609693</v>
      </c>
      <c r="F78" s="39" t="s">
        <v>256</v>
      </c>
      <c r="G78" s="81">
        <f>32733+(364+182)</f>
        <v>33279</v>
      </c>
      <c r="H78" s="50" t="str">
        <f t="shared" si="3"/>
        <v>Feb</v>
      </c>
      <c r="I78" s="51">
        <f t="shared" ca="1" si="4"/>
        <v>25</v>
      </c>
      <c r="J78" s="52" t="s">
        <v>257</v>
      </c>
      <c r="K78" s="53">
        <v>24200</v>
      </c>
      <c r="L78" s="54">
        <v>5</v>
      </c>
      <c r="M78" s="59">
        <f t="shared" si="5"/>
        <v>24200</v>
      </c>
    </row>
    <row r="79" spans="1:15" x14ac:dyDescent="0.25">
      <c r="A79" s="39" t="s">
        <v>757</v>
      </c>
      <c r="B79" s="46" t="s">
        <v>285</v>
      </c>
      <c r="C79" s="39" t="s">
        <v>750</v>
      </c>
      <c r="D79" s="102">
        <v>292693795</v>
      </c>
      <c r="E79" s="102">
        <v>9195990139</v>
      </c>
      <c r="F79" s="39" t="s">
        <v>256</v>
      </c>
      <c r="G79" s="81">
        <f>32734+(364+182)</f>
        <v>33280</v>
      </c>
      <c r="H79" s="50" t="str">
        <f t="shared" si="3"/>
        <v>Feb</v>
      </c>
      <c r="I79" s="51">
        <f t="shared" ca="1" si="4"/>
        <v>25</v>
      </c>
      <c r="J79" s="52" t="s">
        <v>257</v>
      </c>
      <c r="K79" s="53">
        <v>87950</v>
      </c>
      <c r="L79" s="54">
        <v>4</v>
      </c>
      <c r="M79" s="59">
        <f t="shared" si="5"/>
        <v>87950</v>
      </c>
    </row>
    <row r="80" spans="1:15" x14ac:dyDescent="0.25">
      <c r="A80" s="39" t="s">
        <v>860</v>
      </c>
      <c r="B80" s="46" t="s">
        <v>251</v>
      </c>
      <c r="C80" s="39" t="s">
        <v>856</v>
      </c>
      <c r="D80" s="102">
        <v>265993407</v>
      </c>
      <c r="E80" s="102">
        <v>9193558443</v>
      </c>
      <c r="F80" s="39" t="s">
        <v>247</v>
      </c>
      <c r="G80" s="81">
        <f>32736+(364+182)</f>
        <v>33282</v>
      </c>
      <c r="H80" s="50" t="str">
        <f t="shared" si="3"/>
        <v>Feb</v>
      </c>
      <c r="I80" s="51">
        <f t="shared" ca="1" si="4"/>
        <v>25</v>
      </c>
      <c r="J80" s="52"/>
      <c r="K80" s="53">
        <v>89450</v>
      </c>
      <c r="L80" s="54">
        <v>2</v>
      </c>
      <c r="M80" s="59">
        <f t="shared" si="5"/>
        <v>89450</v>
      </c>
    </row>
    <row r="81" spans="1:15" x14ac:dyDescent="0.25">
      <c r="A81" s="39" t="s">
        <v>765</v>
      </c>
      <c r="B81" s="46" t="s">
        <v>251</v>
      </c>
      <c r="C81" s="39" t="s">
        <v>750</v>
      </c>
      <c r="D81" s="102">
        <v>264960848</v>
      </c>
      <c r="E81" s="102">
        <v>9195012757</v>
      </c>
      <c r="F81" s="39" t="s">
        <v>247</v>
      </c>
      <c r="G81" s="81">
        <f>32740+(364+182)</f>
        <v>33286</v>
      </c>
      <c r="H81" s="50" t="str">
        <f t="shared" si="3"/>
        <v>Feb</v>
      </c>
      <c r="I81" s="51">
        <f t="shared" ca="1" si="4"/>
        <v>25</v>
      </c>
      <c r="J81" s="52"/>
      <c r="K81" s="53">
        <v>49070</v>
      </c>
      <c r="L81" s="54">
        <v>3</v>
      </c>
      <c r="M81" s="59">
        <f t="shared" si="5"/>
        <v>49070</v>
      </c>
    </row>
    <row r="82" spans="1:15" x14ac:dyDescent="0.25">
      <c r="A82" s="45" t="s">
        <v>260</v>
      </c>
      <c r="B82" s="46" t="s">
        <v>245</v>
      </c>
      <c r="C82" s="45" t="s">
        <v>246</v>
      </c>
      <c r="D82" s="106">
        <v>914428485</v>
      </c>
      <c r="E82" s="106">
        <v>2521774590</v>
      </c>
      <c r="F82" s="45" t="s">
        <v>261</v>
      </c>
      <c r="G82" s="105">
        <f>32744+(364+182)</f>
        <v>33290</v>
      </c>
      <c r="H82" s="50" t="str">
        <f t="shared" si="3"/>
        <v>Feb</v>
      </c>
      <c r="I82" s="51">
        <f t="shared" ca="1" si="4"/>
        <v>25</v>
      </c>
      <c r="J82" s="52" t="s">
        <v>262</v>
      </c>
      <c r="K82" s="53">
        <v>26795</v>
      </c>
      <c r="L82" s="54">
        <v>4</v>
      </c>
      <c r="M82" s="59">
        <f t="shared" si="5"/>
        <v>26795</v>
      </c>
      <c r="N82" s="107"/>
      <c r="O82" s="104"/>
    </row>
    <row r="83" spans="1:15" x14ac:dyDescent="0.25">
      <c r="A83" s="39" t="s">
        <v>737</v>
      </c>
      <c r="B83" s="46" t="s">
        <v>245</v>
      </c>
      <c r="C83" s="39" t="s">
        <v>705</v>
      </c>
      <c r="D83" s="102">
        <v>294130565</v>
      </c>
      <c r="E83" s="102">
        <v>9193744359</v>
      </c>
      <c r="F83" s="39" t="s">
        <v>256</v>
      </c>
      <c r="G83" s="81">
        <f>33090+(364+182)</f>
        <v>33636</v>
      </c>
      <c r="H83" s="50" t="str">
        <f t="shared" si="3"/>
        <v>Feb</v>
      </c>
      <c r="I83" s="51">
        <f t="shared" ca="1" si="4"/>
        <v>24</v>
      </c>
      <c r="J83" s="52" t="s">
        <v>257</v>
      </c>
      <c r="K83" s="53">
        <v>26360</v>
      </c>
      <c r="L83" s="54">
        <v>1</v>
      </c>
      <c r="M83" s="59">
        <f t="shared" si="5"/>
        <v>26360</v>
      </c>
    </row>
    <row r="84" spans="1:15" x14ac:dyDescent="0.25">
      <c r="A84" s="39" t="s">
        <v>799</v>
      </c>
      <c r="B84" s="46" t="s">
        <v>245</v>
      </c>
      <c r="C84" s="39" t="s">
        <v>767</v>
      </c>
      <c r="D84" s="102">
        <v>433314045</v>
      </c>
      <c r="E84" s="102">
        <v>2522543210</v>
      </c>
      <c r="F84" s="39" t="s">
        <v>247</v>
      </c>
      <c r="G84" s="81">
        <f>33092+(364+182)</f>
        <v>33638</v>
      </c>
      <c r="H84" s="50" t="str">
        <f t="shared" si="3"/>
        <v>Feb</v>
      </c>
      <c r="I84" s="51">
        <f t="shared" ca="1" si="4"/>
        <v>24</v>
      </c>
      <c r="J84" s="52"/>
      <c r="K84" s="53">
        <v>47590</v>
      </c>
      <c r="L84" s="54">
        <v>3</v>
      </c>
      <c r="M84" s="59">
        <f t="shared" si="5"/>
        <v>47590</v>
      </c>
    </row>
    <row r="85" spans="1:15" x14ac:dyDescent="0.25">
      <c r="A85" s="39" t="s">
        <v>743</v>
      </c>
      <c r="B85" s="46" t="s">
        <v>285</v>
      </c>
      <c r="C85" s="39" t="s">
        <v>705</v>
      </c>
      <c r="D85" s="102">
        <v>474117484</v>
      </c>
      <c r="E85" s="102">
        <v>9196132408</v>
      </c>
      <c r="F85" s="39" t="s">
        <v>256</v>
      </c>
      <c r="G85" s="81">
        <f>33096+(364+182)</f>
        <v>33642</v>
      </c>
      <c r="H85" s="50" t="str">
        <f t="shared" si="3"/>
        <v>Feb</v>
      </c>
      <c r="I85" s="51">
        <f t="shared" ca="1" si="4"/>
        <v>24</v>
      </c>
      <c r="J85" s="52" t="s">
        <v>257</v>
      </c>
      <c r="K85" s="53">
        <v>79770</v>
      </c>
      <c r="L85" s="54">
        <v>4</v>
      </c>
      <c r="M85" s="59">
        <f t="shared" si="5"/>
        <v>79770</v>
      </c>
    </row>
    <row r="86" spans="1:15" x14ac:dyDescent="0.25">
      <c r="A86" s="39" t="s">
        <v>529</v>
      </c>
      <c r="B86" s="46" t="s">
        <v>271</v>
      </c>
      <c r="C86" s="39" t="s">
        <v>465</v>
      </c>
      <c r="D86" s="102">
        <v>259573806</v>
      </c>
      <c r="E86" s="102">
        <v>9193302808</v>
      </c>
      <c r="F86" s="39" t="s">
        <v>256</v>
      </c>
      <c r="G86" s="81">
        <f>33102+(364+182)</f>
        <v>33648</v>
      </c>
      <c r="H86" s="50" t="str">
        <f t="shared" si="3"/>
        <v>Feb</v>
      </c>
      <c r="I86" s="51">
        <f t="shared" ca="1" si="4"/>
        <v>24</v>
      </c>
      <c r="J86" s="52" t="s">
        <v>276</v>
      </c>
      <c r="K86" s="53">
        <v>60380</v>
      </c>
      <c r="L86" s="54">
        <v>4</v>
      </c>
      <c r="M86" s="59">
        <f t="shared" si="5"/>
        <v>60380</v>
      </c>
    </row>
    <row r="87" spans="1:15" x14ac:dyDescent="0.25">
      <c r="A87" s="39" t="s">
        <v>793</v>
      </c>
      <c r="B87" s="46" t="s">
        <v>245</v>
      </c>
      <c r="C87" s="39" t="s">
        <v>767</v>
      </c>
      <c r="D87" s="102">
        <v>808012612</v>
      </c>
      <c r="E87" s="102">
        <v>9193717553</v>
      </c>
      <c r="F87" s="39" t="s">
        <v>247</v>
      </c>
      <c r="G87" s="81">
        <f>33112+(364+182)</f>
        <v>33658</v>
      </c>
      <c r="H87" s="50" t="str">
        <f t="shared" si="3"/>
        <v>Feb</v>
      </c>
      <c r="I87" s="51">
        <f t="shared" ca="1" si="4"/>
        <v>24</v>
      </c>
      <c r="J87" s="52"/>
      <c r="K87" s="53">
        <v>60550</v>
      </c>
      <c r="L87" s="54">
        <v>2</v>
      </c>
      <c r="M87" s="59">
        <f t="shared" si="5"/>
        <v>60550</v>
      </c>
    </row>
    <row r="88" spans="1:15" x14ac:dyDescent="0.25">
      <c r="A88" s="39" t="s">
        <v>1034</v>
      </c>
      <c r="B88" s="46" t="s">
        <v>285</v>
      </c>
      <c r="C88" s="39" t="s">
        <v>1031</v>
      </c>
      <c r="D88" s="102">
        <v>183135788</v>
      </c>
      <c r="E88" s="102">
        <v>2521198851</v>
      </c>
      <c r="F88" s="39" t="s">
        <v>247</v>
      </c>
      <c r="G88" s="81">
        <f>33457+(364+182)</f>
        <v>34003</v>
      </c>
      <c r="H88" s="50" t="str">
        <f t="shared" si="3"/>
        <v>Feb</v>
      </c>
      <c r="I88" s="51">
        <f t="shared" ca="1" si="4"/>
        <v>23</v>
      </c>
      <c r="J88" s="52"/>
      <c r="K88" s="53">
        <v>60760</v>
      </c>
      <c r="L88" s="54">
        <v>2</v>
      </c>
      <c r="M88" s="59">
        <f t="shared" si="5"/>
        <v>60760</v>
      </c>
      <c r="O88" s="101"/>
    </row>
    <row r="89" spans="1:15" x14ac:dyDescent="0.25">
      <c r="A89" s="39" t="s">
        <v>1012</v>
      </c>
      <c r="B89" s="46" t="s">
        <v>285</v>
      </c>
      <c r="C89" s="39" t="s">
        <v>930</v>
      </c>
      <c r="D89" s="102">
        <v>287476507</v>
      </c>
      <c r="E89" s="102">
        <v>9191509619</v>
      </c>
      <c r="F89" s="39" t="s">
        <v>261</v>
      </c>
      <c r="G89" s="81">
        <f>33459+(364+182)</f>
        <v>34005</v>
      </c>
      <c r="H89" s="50" t="str">
        <f t="shared" si="3"/>
        <v>Feb</v>
      </c>
      <c r="I89" s="51">
        <f t="shared" ca="1" si="4"/>
        <v>23</v>
      </c>
      <c r="J89" s="52" t="s">
        <v>257</v>
      </c>
      <c r="K89" s="53">
        <v>19935</v>
      </c>
      <c r="L89" s="54">
        <v>1</v>
      </c>
      <c r="M89" s="59">
        <f t="shared" si="5"/>
        <v>19935</v>
      </c>
    </row>
    <row r="90" spans="1:15" x14ac:dyDescent="0.25">
      <c r="A90" s="39" t="s">
        <v>919</v>
      </c>
      <c r="B90" s="46" t="s">
        <v>245</v>
      </c>
      <c r="C90" s="39" t="s">
        <v>856</v>
      </c>
      <c r="D90" s="102">
        <v>186821354</v>
      </c>
      <c r="E90" s="102">
        <v>2528527032</v>
      </c>
      <c r="F90" s="39" t="s">
        <v>256</v>
      </c>
      <c r="G90" s="81">
        <f>33464+(364+182)</f>
        <v>34010</v>
      </c>
      <c r="H90" s="50" t="str">
        <f t="shared" si="3"/>
        <v>Feb</v>
      </c>
      <c r="I90" s="51">
        <f t="shared" ca="1" si="4"/>
        <v>23</v>
      </c>
      <c r="J90" s="52" t="s">
        <v>257</v>
      </c>
      <c r="K90" s="53">
        <v>54270</v>
      </c>
      <c r="L90" s="54">
        <v>3</v>
      </c>
      <c r="M90" s="59">
        <f t="shared" si="5"/>
        <v>54270</v>
      </c>
    </row>
    <row r="91" spans="1:15" x14ac:dyDescent="0.25">
      <c r="A91" s="39" t="s">
        <v>869</v>
      </c>
      <c r="B91" s="46" t="s">
        <v>251</v>
      </c>
      <c r="C91" s="39" t="s">
        <v>856</v>
      </c>
      <c r="D91" s="102">
        <v>462461365</v>
      </c>
      <c r="E91" s="102">
        <v>2527126482</v>
      </c>
      <c r="F91" s="39" t="s">
        <v>256</v>
      </c>
      <c r="G91" s="81">
        <f>33475+(364+182)</f>
        <v>34021</v>
      </c>
      <c r="H91" s="50" t="str">
        <f t="shared" si="3"/>
        <v>Feb</v>
      </c>
      <c r="I91" s="51">
        <f t="shared" ca="1" si="4"/>
        <v>23</v>
      </c>
      <c r="J91" s="52" t="s">
        <v>283</v>
      </c>
      <c r="K91" s="53">
        <v>45110</v>
      </c>
      <c r="L91" s="54">
        <v>2</v>
      </c>
      <c r="M91" s="59">
        <f t="shared" si="5"/>
        <v>45110</v>
      </c>
    </row>
    <row r="92" spans="1:15" x14ac:dyDescent="0.25">
      <c r="A92" s="39" t="s">
        <v>898</v>
      </c>
      <c r="B92" s="46" t="s">
        <v>271</v>
      </c>
      <c r="C92" s="39" t="s">
        <v>856</v>
      </c>
      <c r="D92" s="102">
        <v>404589373</v>
      </c>
      <c r="E92" s="102">
        <v>9198407416</v>
      </c>
      <c r="F92" s="39" t="s">
        <v>256</v>
      </c>
      <c r="G92" s="81">
        <f>33482+(364+182)</f>
        <v>34028</v>
      </c>
      <c r="H92" s="50" t="str">
        <f t="shared" si="3"/>
        <v>Feb</v>
      </c>
      <c r="I92" s="51">
        <f t="shared" ca="1" si="4"/>
        <v>23</v>
      </c>
      <c r="J92" s="52" t="s">
        <v>283</v>
      </c>
      <c r="K92" s="53">
        <v>66824</v>
      </c>
      <c r="L92" s="54">
        <v>2</v>
      </c>
      <c r="M92" s="59">
        <f t="shared" si="5"/>
        <v>66824</v>
      </c>
    </row>
    <row r="93" spans="1:15" x14ac:dyDescent="0.25">
      <c r="A93" s="39" t="s">
        <v>722</v>
      </c>
      <c r="B93" s="46" t="s">
        <v>285</v>
      </c>
      <c r="C93" s="39" t="s">
        <v>705</v>
      </c>
      <c r="D93" s="102">
        <v>555718765</v>
      </c>
      <c r="E93" s="102">
        <v>2524618773</v>
      </c>
      <c r="F93" s="39" t="s">
        <v>256</v>
      </c>
      <c r="G93" s="81">
        <f>34191+(364+182)</f>
        <v>34737</v>
      </c>
      <c r="H93" s="50" t="str">
        <f t="shared" si="3"/>
        <v>Feb</v>
      </c>
      <c r="I93" s="51">
        <f t="shared" ca="1" si="4"/>
        <v>21</v>
      </c>
      <c r="J93" s="52" t="s">
        <v>257</v>
      </c>
      <c r="K93" s="53">
        <v>88850</v>
      </c>
      <c r="L93" s="54">
        <v>3</v>
      </c>
      <c r="M93" s="59">
        <f t="shared" si="5"/>
        <v>88850</v>
      </c>
    </row>
    <row r="94" spans="1:15" x14ac:dyDescent="0.25">
      <c r="A94" s="39" t="s">
        <v>728</v>
      </c>
      <c r="B94" s="46" t="s">
        <v>266</v>
      </c>
      <c r="C94" s="39" t="s">
        <v>705</v>
      </c>
      <c r="D94" s="102">
        <v>297806507</v>
      </c>
      <c r="E94" s="102">
        <v>9197312659</v>
      </c>
      <c r="F94" s="39" t="s">
        <v>256</v>
      </c>
      <c r="G94" s="81">
        <f>34194+(364+182)</f>
        <v>34740</v>
      </c>
      <c r="H94" s="50" t="str">
        <f t="shared" si="3"/>
        <v>Feb</v>
      </c>
      <c r="I94" s="51">
        <f t="shared" ca="1" si="4"/>
        <v>21</v>
      </c>
      <c r="J94" s="52" t="s">
        <v>267</v>
      </c>
      <c r="K94" s="53">
        <v>77840</v>
      </c>
      <c r="L94" s="54">
        <v>2</v>
      </c>
      <c r="M94" s="59">
        <f t="shared" si="5"/>
        <v>77840</v>
      </c>
    </row>
    <row r="95" spans="1:15" x14ac:dyDescent="0.25">
      <c r="A95" s="39" t="s">
        <v>857</v>
      </c>
      <c r="B95" s="46" t="s">
        <v>271</v>
      </c>
      <c r="C95" s="39" t="s">
        <v>856</v>
      </c>
      <c r="D95" s="102">
        <v>709234421</v>
      </c>
      <c r="E95" s="102">
        <v>2523838954</v>
      </c>
      <c r="F95" s="39" t="s">
        <v>256</v>
      </c>
      <c r="G95" s="81">
        <f>34208+(364+182)</f>
        <v>34754</v>
      </c>
      <c r="H95" s="50" t="str">
        <f t="shared" si="3"/>
        <v>Feb</v>
      </c>
      <c r="I95" s="51">
        <f t="shared" ca="1" si="4"/>
        <v>21</v>
      </c>
      <c r="J95" s="52" t="s">
        <v>257</v>
      </c>
      <c r="K95" s="53">
        <v>39000</v>
      </c>
      <c r="L95" s="54">
        <v>5</v>
      </c>
      <c r="M95" s="59">
        <f t="shared" si="5"/>
        <v>39000</v>
      </c>
    </row>
    <row r="96" spans="1:15" x14ac:dyDescent="0.25">
      <c r="A96" s="39" t="s">
        <v>445</v>
      </c>
      <c r="B96" s="46" t="s">
        <v>285</v>
      </c>
      <c r="C96" s="39" t="s">
        <v>417</v>
      </c>
      <c r="D96" s="102">
        <v>116869057</v>
      </c>
      <c r="E96" s="102">
        <v>2521614846</v>
      </c>
      <c r="F96" s="39" t="s">
        <v>261</v>
      </c>
      <c r="G96" s="81">
        <f>34209+(364+182)</f>
        <v>34755</v>
      </c>
      <c r="H96" s="50" t="str">
        <f t="shared" si="3"/>
        <v>Feb</v>
      </c>
      <c r="I96" s="51">
        <f t="shared" ca="1" si="4"/>
        <v>21</v>
      </c>
      <c r="J96" s="52" t="s">
        <v>267</v>
      </c>
      <c r="K96" s="53">
        <v>15005</v>
      </c>
      <c r="L96" s="54">
        <v>4</v>
      </c>
      <c r="M96" s="59">
        <f t="shared" si="5"/>
        <v>15005</v>
      </c>
      <c r="N96" s="107"/>
    </row>
    <row r="97" spans="1:15" x14ac:dyDescent="0.25">
      <c r="A97" s="39" t="s">
        <v>326</v>
      </c>
      <c r="B97" s="46" t="s">
        <v>280</v>
      </c>
      <c r="C97" s="39" t="s">
        <v>312</v>
      </c>
      <c r="D97" s="102">
        <v>247276092</v>
      </c>
      <c r="E97" s="102">
        <v>2522636516</v>
      </c>
      <c r="F97" s="39" t="s">
        <v>247</v>
      </c>
      <c r="G97" s="81">
        <f>34573+(364+182)</f>
        <v>35119</v>
      </c>
      <c r="H97" s="50" t="str">
        <f t="shared" si="3"/>
        <v>Feb</v>
      </c>
      <c r="I97" s="51">
        <f t="shared" ca="1" si="4"/>
        <v>20</v>
      </c>
      <c r="J97" s="52"/>
      <c r="K97" s="53">
        <v>64390</v>
      </c>
      <c r="L97" s="54">
        <v>2</v>
      </c>
      <c r="M97" s="59">
        <f t="shared" si="5"/>
        <v>64390</v>
      </c>
    </row>
    <row r="98" spans="1:15" x14ac:dyDescent="0.25">
      <c r="A98" s="39" t="s">
        <v>677</v>
      </c>
      <c r="B98" s="46" t="s">
        <v>285</v>
      </c>
      <c r="C98" s="39" t="s">
        <v>678</v>
      </c>
      <c r="D98" s="102">
        <v>414905182</v>
      </c>
      <c r="E98" s="102">
        <v>9193820411</v>
      </c>
      <c r="F98" s="39" t="s">
        <v>256</v>
      </c>
      <c r="G98" s="81">
        <f>34575+(364+182)</f>
        <v>35121</v>
      </c>
      <c r="H98" s="50" t="str">
        <f t="shared" si="3"/>
        <v>Feb</v>
      </c>
      <c r="I98" s="51">
        <f t="shared" ca="1" si="4"/>
        <v>20</v>
      </c>
      <c r="J98" s="52" t="s">
        <v>283</v>
      </c>
      <c r="K98" s="53">
        <v>22860</v>
      </c>
      <c r="L98" s="54">
        <v>5</v>
      </c>
      <c r="M98" s="59">
        <f t="shared" si="5"/>
        <v>22860</v>
      </c>
    </row>
    <row r="99" spans="1:15" x14ac:dyDescent="0.25">
      <c r="A99" s="39" t="s">
        <v>284</v>
      </c>
      <c r="B99" s="46" t="s">
        <v>285</v>
      </c>
      <c r="C99" s="39" t="s">
        <v>272</v>
      </c>
      <c r="D99" s="102">
        <v>768681542</v>
      </c>
      <c r="E99" s="102">
        <v>8021673267</v>
      </c>
      <c r="F99" s="39" t="s">
        <v>256</v>
      </c>
      <c r="G99" s="81">
        <f>34918+(364+182)</f>
        <v>35464</v>
      </c>
      <c r="H99" s="50" t="str">
        <f t="shared" si="3"/>
        <v>Feb</v>
      </c>
      <c r="I99" s="51">
        <f t="shared" ca="1" si="4"/>
        <v>19</v>
      </c>
      <c r="J99" s="52" t="s">
        <v>257</v>
      </c>
      <c r="K99" s="53">
        <v>60830</v>
      </c>
      <c r="L99" s="54">
        <v>2</v>
      </c>
      <c r="M99" s="59">
        <f t="shared" si="5"/>
        <v>60830</v>
      </c>
      <c r="O99" s="104"/>
    </row>
    <row r="100" spans="1:15" x14ac:dyDescent="0.25">
      <c r="A100" s="39" t="s">
        <v>966</v>
      </c>
      <c r="B100" s="46" t="s">
        <v>285</v>
      </c>
      <c r="C100" s="39" t="s">
        <v>930</v>
      </c>
      <c r="D100" s="102">
        <v>894855096</v>
      </c>
      <c r="E100" s="102">
        <v>9193936198</v>
      </c>
      <c r="F100" s="39" t="s">
        <v>261</v>
      </c>
      <c r="G100" s="81">
        <f>34920+(364+182)</f>
        <v>35466</v>
      </c>
      <c r="H100" s="50" t="str">
        <f t="shared" si="3"/>
        <v>Feb</v>
      </c>
      <c r="I100" s="51">
        <f t="shared" ca="1" si="4"/>
        <v>19</v>
      </c>
      <c r="J100" s="52" t="s">
        <v>262</v>
      </c>
      <c r="K100" s="53">
        <v>37660</v>
      </c>
      <c r="L100" s="54">
        <v>4</v>
      </c>
      <c r="M100" s="59">
        <f t="shared" si="5"/>
        <v>37660</v>
      </c>
    </row>
    <row r="101" spans="1:15" x14ac:dyDescent="0.25">
      <c r="A101" s="39" t="s">
        <v>396</v>
      </c>
      <c r="B101" s="46" t="s">
        <v>266</v>
      </c>
      <c r="C101" s="39" t="s">
        <v>391</v>
      </c>
      <c r="D101" s="102">
        <v>291798311</v>
      </c>
      <c r="E101" s="102">
        <v>2526742736</v>
      </c>
      <c r="F101" s="39" t="s">
        <v>256</v>
      </c>
      <c r="G101" s="81">
        <f>34941+(364+182)</f>
        <v>35487</v>
      </c>
      <c r="H101" s="50" t="str">
        <f t="shared" si="3"/>
        <v>Feb</v>
      </c>
      <c r="I101" s="51">
        <f t="shared" ca="1" si="4"/>
        <v>19</v>
      </c>
      <c r="J101" s="52" t="s">
        <v>257</v>
      </c>
      <c r="K101" s="53">
        <v>80120</v>
      </c>
      <c r="L101" s="54">
        <v>4</v>
      </c>
      <c r="M101" s="59">
        <f t="shared" si="5"/>
        <v>80120</v>
      </c>
    </row>
    <row r="102" spans="1:15" x14ac:dyDescent="0.25">
      <c r="A102" s="39" t="s">
        <v>352</v>
      </c>
      <c r="B102" s="46" t="s">
        <v>285</v>
      </c>
      <c r="C102" s="39" t="s">
        <v>312</v>
      </c>
      <c r="D102" s="102">
        <v>571120098</v>
      </c>
      <c r="E102" s="102">
        <v>2525789252</v>
      </c>
      <c r="F102" s="39" t="s">
        <v>256</v>
      </c>
      <c r="G102" s="81">
        <f>35283+(364+182)</f>
        <v>35829</v>
      </c>
      <c r="H102" s="50" t="str">
        <f t="shared" si="3"/>
        <v>Feb</v>
      </c>
      <c r="I102" s="51">
        <f t="shared" ca="1" si="4"/>
        <v>18</v>
      </c>
      <c r="J102" s="52" t="s">
        <v>257</v>
      </c>
      <c r="K102" s="53">
        <v>61030</v>
      </c>
      <c r="L102" s="54">
        <v>3</v>
      </c>
      <c r="M102" s="59">
        <f t="shared" si="5"/>
        <v>61030</v>
      </c>
      <c r="N102" s="107"/>
      <c r="O102" s="101"/>
    </row>
    <row r="103" spans="1:15" x14ac:dyDescent="0.25">
      <c r="A103" s="39" t="s">
        <v>559</v>
      </c>
      <c r="B103" s="46" t="s">
        <v>245</v>
      </c>
      <c r="C103" s="39" t="s">
        <v>465</v>
      </c>
      <c r="D103" s="102">
        <v>661850671</v>
      </c>
      <c r="E103" s="102">
        <v>2528405900</v>
      </c>
      <c r="F103" s="39" t="s">
        <v>252</v>
      </c>
      <c r="G103" s="81">
        <f>35283+(364+182)</f>
        <v>35829</v>
      </c>
      <c r="H103" s="50" t="str">
        <f t="shared" si="3"/>
        <v>Feb</v>
      </c>
      <c r="I103" s="51">
        <f t="shared" ca="1" si="4"/>
        <v>18</v>
      </c>
      <c r="J103" s="52"/>
      <c r="K103" s="53">
        <v>29176</v>
      </c>
      <c r="L103" s="54">
        <v>3</v>
      </c>
      <c r="M103" s="59">
        <f t="shared" si="5"/>
        <v>29176</v>
      </c>
    </row>
    <row r="104" spans="1:15" x14ac:dyDescent="0.25">
      <c r="A104" s="39" t="s">
        <v>609</v>
      </c>
      <c r="B104" s="46" t="s">
        <v>266</v>
      </c>
      <c r="C104" s="39" t="s">
        <v>465</v>
      </c>
      <c r="D104" s="102">
        <v>881975933</v>
      </c>
      <c r="E104" s="102">
        <v>9192354572</v>
      </c>
      <c r="F104" s="39" t="s">
        <v>256</v>
      </c>
      <c r="G104" s="81">
        <f>35284+(364+182)</f>
        <v>35830</v>
      </c>
      <c r="H104" s="50" t="str">
        <f t="shared" si="3"/>
        <v>Feb</v>
      </c>
      <c r="I104" s="51">
        <f t="shared" ca="1" si="4"/>
        <v>18</v>
      </c>
      <c r="J104" s="52" t="s">
        <v>267</v>
      </c>
      <c r="K104" s="53">
        <v>35460</v>
      </c>
      <c r="L104" s="54">
        <v>5</v>
      </c>
      <c r="M104" s="59">
        <f t="shared" si="5"/>
        <v>35460</v>
      </c>
    </row>
    <row r="105" spans="1:15" x14ac:dyDescent="0.25">
      <c r="A105" s="39" t="s">
        <v>344</v>
      </c>
      <c r="B105" s="46" t="s">
        <v>271</v>
      </c>
      <c r="C105" s="39" t="s">
        <v>312</v>
      </c>
      <c r="D105" s="102">
        <v>639314672</v>
      </c>
      <c r="E105" s="102">
        <v>9191919478</v>
      </c>
      <c r="F105" s="39" t="s">
        <v>261</v>
      </c>
      <c r="G105" s="81">
        <f>35296+(364+182)</f>
        <v>35842</v>
      </c>
      <c r="H105" s="50" t="str">
        <f t="shared" si="3"/>
        <v>Feb</v>
      </c>
      <c r="I105" s="51">
        <f t="shared" ca="1" si="4"/>
        <v>18</v>
      </c>
      <c r="J105" s="52" t="s">
        <v>276</v>
      </c>
      <c r="K105" s="53">
        <v>23380</v>
      </c>
      <c r="L105" s="54">
        <v>4</v>
      </c>
      <c r="M105" s="59">
        <f t="shared" si="5"/>
        <v>23380</v>
      </c>
    </row>
    <row r="106" spans="1:15" x14ac:dyDescent="0.25">
      <c r="A106" s="39" t="s">
        <v>911</v>
      </c>
      <c r="B106" s="46" t="s">
        <v>280</v>
      </c>
      <c r="C106" s="39" t="s">
        <v>856</v>
      </c>
      <c r="D106" s="102">
        <v>619456809</v>
      </c>
      <c r="E106" s="102">
        <v>9196865606</v>
      </c>
      <c r="F106" s="39" t="s">
        <v>261</v>
      </c>
      <c r="G106" s="81">
        <f>35296+(364+182)</f>
        <v>35842</v>
      </c>
      <c r="H106" s="50" t="str">
        <f t="shared" si="3"/>
        <v>Feb</v>
      </c>
      <c r="I106" s="51">
        <f t="shared" ca="1" si="4"/>
        <v>18</v>
      </c>
      <c r="J106" s="52" t="s">
        <v>267</v>
      </c>
      <c r="K106" s="53">
        <v>39530</v>
      </c>
      <c r="L106" s="54">
        <v>5</v>
      </c>
      <c r="M106" s="59">
        <f t="shared" si="5"/>
        <v>39530</v>
      </c>
    </row>
    <row r="107" spans="1:15" x14ac:dyDescent="0.25">
      <c r="A107" s="39" t="s">
        <v>314</v>
      </c>
      <c r="B107" s="46" t="s">
        <v>271</v>
      </c>
      <c r="C107" s="39" t="s">
        <v>312</v>
      </c>
      <c r="D107" s="102">
        <v>981106829</v>
      </c>
      <c r="E107" s="102">
        <v>2526196095</v>
      </c>
      <c r="F107" s="39" t="s">
        <v>247</v>
      </c>
      <c r="G107" s="81">
        <f>35302+(364+182)</f>
        <v>35848</v>
      </c>
      <c r="H107" s="50" t="str">
        <f t="shared" si="3"/>
        <v>Feb</v>
      </c>
      <c r="I107" s="51">
        <f t="shared" ca="1" si="4"/>
        <v>18</v>
      </c>
      <c r="J107" s="52"/>
      <c r="K107" s="53">
        <v>85480</v>
      </c>
      <c r="L107" s="54">
        <v>5</v>
      </c>
      <c r="M107" s="59">
        <f t="shared" si="5"/>
        <v>85480</v>
      </c>
    </row>
    <row r="108" spans="1:15" x14ac:dyDescent="0.25">
      <c r="A108" s="39" t="s">
        <v>657</v>
      </c>
      <c r="B108" s="46" t="s">
        <v>245</v>
      </c>
      <c r="C108" s="39" t="s">
        <v>626</v>
      </c>
      <c r="D108" s="102">
        <v>259330447</v>
      </c>
      <c r="E108" s="102">
        <v>9195252544</v>
      </c>
      <c r="F108" s="39" t="s">
        <v>247</v>
      </c>
      <c r="G108" s="81">
        <f>35646+(364+182)</f>
        <v>36192</v>
      </c>
      <c r="H108" s="50" t="str">
        <f t="shared" si="3"/>
        <v>Feb</v>
      </c>
      <c r="I108" s="51">
        <f t="shared" ca="1" si="4"/>
        <v>17</v>
      </c>
      <c r="J108" s="52"/>
      <c r="K108" s="53">
        <v>47620</v>
      </c>
      <c r="L108" s="54">
        <v>5</v>
      </c>
      <c r="M108" s="59">
        <f t="shared" si="5"/>
        <v>47620</v>
      </c>
    </row>
    <row r="109" spans="1:15" x14ac:dyDescent="0.25">
      <c r="A109" s="39" t="s">
        <v>934</v>
      </c>
      <c r="B109" s="46" t="s">
        <v>245</v>
      </c>
      <c r="C109" s="39" t="s">
        <v>930</v>
      </c>
      <c r="D109" s="102">
        <v>247422007</v>
      </c>
      <c r="E109" s="102">
        <v>2528012440</v>
      </c>
      <c r="F109" s="39" t="s">
        <v>247</v>
      </c>
      <c r="G109" s="81">
        <f>35647+(364+182)</f>
        <v>36193</v>
      </c>
      <c r="H109" s="50" t="str">
        <f t="shared" si="3"/>
        <v>Feb</v>
      </c>
      <c r="I109" s="51">
        <f t="shared" ca="1" si="4"/>
        <v>17</v>
      </c>
      <c r="J109" s="52"/>
      <c r="K109" s="53">
        <v>58250</v>
      </c>
      <c r="L109" s="54">
        <v>2</v>
      </c>
      <c r="M109" s="59">
        <f t="shared" si="5"/>
        <v>58250</v>
      </c>
    </row>
    <row r="110" spans="1:15" x14ac:dyDescent="0.25">
      <c r="A110" s="39" t="s">
        <v>782</v>
      </c>
      <c r="B110" s="46" t="s">
        <v>271</v>
      </c>
      <c r="C110" s="39" t="s">
        <v>767</v>
      </c>
      <c r="D110" s="102">
        <v>978154935</v>
      </c>
      <c r="E110" s="102">
        <v>2521384592</v>
      </c>
      <c r="F110" s="39" t="s">
        <v>256</v>
      </c>
      <c r="G110" s="81">
        <f>35649+(364+182)</f>
        <v>36195</v>
      </c>
      <c r="H110" s="50" t="str">
        <f t="shared" si="3"/>
        <v>Feb</v>
      </c>
      <c r="I110" s="51">
        <f t="shared" ca="1" si="4"/>
        <v>17</v>
      </c>
      <c r="J110" s="52" t="s">
        <v>267</v>
      </c>
      <c r="K110" s="53">
        <v>46360</v>
      </c>
      <c r="L110" s="54">
        <v>5</v>
      </c>
      <c r="M110" s="59">
        <f t="shared" si="5"/>
        <v>46360</v>
      </c>
    </row>
    <row r="111" spans="1:15" x14ac:dyDescent="0.25">
      <c r="A111" s="39" t="s">
        <v>901</v>
      </c>
      <c r="B111" s="46" t="s">
        <v>271</v>
      </c>
      <c r="C111" s="39" t="s">
        <v>856</v>
      </c>
      <c r="D111" s="102">
        <v>718930584</v>
      </c>
      <c r="E111" s="102">
        <v>9195804771</v>
      </c>
      <c r="F111" s="39" t="s">
        <v>261</v>
      </c>
      <c r="G111" s="81">
        <f>35650+(364+182)</f>
        <v>36196</v>
      </c>
      <c r="H111" s="50" t="str">
        <f t="shared" si="3"/>
        <v>Feb</v>
      </c>
      <c r="I111" s="51">
        <f t="shared" ca="1" si="4"/>
        <v>17</v>
      </c>
      <c r="J111" s="52" t="s">
        <v>257</v>
      </c>
      <c r="K111" s="53">
        <v>34980</v>
      </c>
      <c r="L111" s="54">
        <v>2</v>
      </c>
      <c r="M111" s="59">
        <f t="shared" si="5"/>
        <v>34980</v>
      </c>
    </row>
    <row r="112" spans="1:15" x14ac:dyDescent="0.25">
      <c r="A112" s="39" t="s">
        <v>486</v>
      </c>
      <c r="B112" s="46" t="s">
        <v>251</v>
      </c>
      <c r="C112" s="39" t="s">
        <v>465</v>
      </c>
      <c r="D112" s="102">
        <v>923123594</v>
      </c>
      <c r="E112" s="102">
        <v>2528669137</v>
      </c>
      <c r="F112" s="39" t="s">
        <v>256</v>
      </c>
      <c r="G112" s="81">
        <f>35652+(364+182)</f>
        <v>36198</v>
      </c>
      <c r="H112" s="50" t="str">
        <f t="shared" si="3"/>
        <v>Feb</v>
      </c>
      <c r="I112" s="51">
        <f t="shared" ca="1" si="4"/>
        <v>17</v>
      </c>
      <c r="J112" s="52" t="s">
        <v>276</v>
      </c>
      <c r="K112" s="53">
        <v>81400</v>
      </c>
      <c r="L112" s="54">
        <v>2</v>
      </c>
      <c r="M112" s="59">
        <f t="shared" si="5"/>
        <v>81400</v>
      </c>
    </row>
    <row r="113" spans="1:15" x14ac:dyDescent="0.25">
      <c r="A113" s="39" t="s">
        <v>664</v>
      </c>
      <c r="B113" s="46" t="s">
        <v>251</v>
      </c>
      <c r="C113" s="39" t="s">
        <v>626</v>
      </c>
      <c r="D113" s="102">
        <v>345817459</v>
      </c>
      <c r="E113" s="102">
        <v>9195594427</v>
      </c>
      <c r="F113" s="39" t="s">
        <v>247</v>
      </c>
      <c r="G113" s="81">
        <f>35653+(364+182)</f>
        <v>36199</v>
      </c>
      <c r="H113" s="50" t="str">
        <f t="shared" si="3"/>
        <v>Feb</v>
      </c>
      <c r="I113" s="51">
        <f t="shared" ca="1" si="4"/>
        <v>17</v>
      </c>
      <c r="J113" s="52"/>
      <c r="K113" s="53">
        <v>31270</v>
      </c>
      <c r="L113" s="54">
        <v>5</v>
      </c>
      <c r="M113" s="59">
        <f t="shared" si="5"/>
        <v>31270</v>
      </c>
    </row>
    <row r="114" spans="1:15" x14ac:dyDescent="0.25">
      <c r="A114" s="39" t="s">
        <v>298</v>
      </c>
      <c r="B114" s="46" t="s">
        <v>285</v>
      </c>
      <c r="C114" s="39" t="s">
        <v>296</v>
      </c>
      <c r="D114" s="102">
        <v>533976888</v>
      </c>
      <c r="E114" s="102">
        <v>9192572783</v>
      </c>
      <c r="F114" s="39" t="s">
        <v>256</v>
      </c>
      <c r="G114" s="81">
        <f>35668+(364+182)</f>
        <v>36214</v>
      </c>
      <c r="H114" s="50" t="str">
        <f t="shared" si="3"/>
        <v>Feb</v>
      </c>
      <c r="I114" s="51">
        <f t="shared" ca="1" si="4"/>
        <v>17</v>
      </c>
      <c r="J114" s="52" t="s">
        <v>276</v>
      </c>
      <c r="K114" s="53">
        <v>47850</v>
      </c>
      <c r="L114" s="54">
        <v>1</v>
      </c>
      <c r="M114" s="59">
        <f t="shared" si="5"/>
        <v>47850</v>
      </c>
    </row>
    <row r="115" spans="1:15" x14ac:dyDescent="0.25">
      <c r="A115" s="39" t="s">
        <v>888</v>
      </c>
      <c r="B115" s="46" t="s">
        <v>285</v>
      </c>
      <c r="C115" s="39" t="s">
        <v>856</v>
      </c>
      <c r="D115" s="102">
        <v>351003584</v>
      </c>
      <c r="E115" s="102">
        <v>2524269081</v>
      </c>
      <c r="F115" s="39" t="s">
        <v>247</v>
      </c>
      <c r="G115" s="81">
        <f>35668+(364+182)</f>
        <v>36214</v>
      </c>
      <c r="H115" s="50" t="str">
        <f t="shared" si="3"/>
        <v>Feb</v>
      </c>
      <c r="I115" s="51">
        <f t="shared" ca="1" si="4"/>
        <v>17</v>
      </c>
      <c r="J115" s="52"/>
      <c r="K115" s="53">
        <v>53310</v>
      </c>
      <c r="L115" s="54">
        <v>5</v>
      </c>
      <c r="M115" s="59">
        <f t="shared" si="5"/>
        <v>53310</v>
      </c>
    </row>
    <row r="116" spans="1:15" x14ac:dyDescent="0.25">
      <c r="A116" s="45" t="s">
        <v>281</v>
      </c>
      <c r="B116" s="46" t="s">
        <v>251</v>
      </c>
      <c r="C116" s="45" t="s">
        <v>272</v>
      </c>
      <c r="D116" s="106">
        <v>356110882</v>
      </c>
      <c r="E116" s="106">
        <v>2527936742</v>
      </c>
      <c r="F116" s="45" t="s">
        <v>261</v>
      </c>
      <c r="G116" s="105">
        <f>35671+(364+182)</f>
        <v>36217</v>
      </c>
      <c r="H116" s="50" t="str">
        <f t="shared" si="3"/>
        <v>Feb</v>
      </c>
      <c r="I116" s="51">
        <f t="shared" ca="1" si="4"/>
        <v>17</v>
      </c>
      <c r="J116" s="52" t="s">
        <v>257</v>
      </c>
      <c r="K116" s="53">
        <v>15240</v>
      </c>
      <c r="L116" s="54">
        <v>1</v>
      </c>
      <c r="M116" s="59">
        <f t="shared" si="5"/>
        <v>15240</v>
      </c>
      <c r="O116" s="104"/>
    </row>
    <row r="117" spans="1:15" x14ac:dyDescent="0.25">
      <c r="A117" s="39" t="s">
        <v>818</v>
      </c>
      <c r="B117" s="46" t="s">
        <v>280</v>
      </c>
      <c r="C117" s="39" t="s">
        <v>767</v>
      </c>
      <c r="D117" s="102">
        <v>369210573</v>
      </c>
      <c r="E117" s="102">
        <v>2526555049</v>
      </c>
      <c r="F117" s="39" t="s">
        <v>261</v>
      </c>
      <c r="G117" s="81">
        <f>35671+(364+182)</f>
        <v>36217</v>
      </c>
      <c r="H117" s="50" t="str">
        <f t="shared" si="3"/>
        <v>Feb</v>
      </c>
      <c r="I117" s="51">
        <f t="shared" ca="1" si="4"/>
        <v>17</v>
      </c>
      <c r="J117" s="52" t="s">
        <v>283</v>
      </c>
      <c r="K117" s="53">
        <v>22475</v>
      </c>
      <c r="L117" s="54">
        <v>4</v>
      </c>
      <c r="M117" s="59">
        <f t="shared" si="5"/>
        <v>22475</v>
      </c>
    </row>
    <row r="118" spans="1:15" x14ac:dyDescent="0.25">
      <c r="A118" s="39" t="s">
        <v>868</v>
      </c>
      <c r="B118" s="46" t="s">
        <v>266</v>
      </c>
      <c r="C118" s="39" t="s">
        <v>856</v>
      </c>
      <c r="D118" s="102">
        <v>733881041</v>
      </c>
      <c r="E118" s="102">
        <v>2524072342</v>
      </c>
      <c r="F118" s="39" t="s">
        <v>252</v>
      </c>
      <c r="G118" s="81">
        <f>36011+(364+182)</f>
        <v>36557</v>
      </c>
      <c r="H118" s="50" t="str">
        <f t="shared" si="3"/>
        <v>Feb</v>
      </c>
      <c r="I118" s="51">
        <f t="shared" ca="1" si="4"/>
        <v>16</v>
      </c>
      <c r="J118" s="52"/>
      <c r="K118" s="53">
        <v>15552</v>
      </c>
      <c r="L118" s="54">
        <v>4</v>
      </c>
      <c r="M118" s="59">
        <f t="shared" si="5"/>
        <v>15552</v>
      </c>
    </row>
    <row r="119" spans="1:15" x14ac:dyDescent="0.25">
      <c r="A119" s="39" t="s">
        <v>1033</v>
      </c>
      <c r="B119" s="46" t="s">
        <v>266</v>
      </c>
      <c r="C119" s="39" t="s">
        <v>1031</v>
      </c>
      <c r="D119" s="102">
        <v>495372474</v>
      </c>
      <c r="E119" s="102">
        <v>9194137278</v>
      </c>
      <c r="F119" s="39" t="s">
        <v>261</v>
      </c>
      <c r="G119" s="81">
        <f>36011+(364+182)</f>
        <v>36557</v>
      </c>
      <c r="H119" s="50" t="str">
        <f t="shared" si="3"/>
        <v>Feb</v>
      </c>
      <c r="I119" s="51">
        <f t="shared" ca="1" si="4"/>
        <v>16</v>
      </c>
      <c r="J119" s="52" t="s">
        <v>257</v>
      </c>
      <c r="K119" s="53">
        <v>31250</v>
      </c>
      <c r="L119" s="54">
        <v>2</v>
      </c>
      <c r="M119" s="59">
        <f t="shared" si="5"/>
        <v>31250</v>
      </c>
    </row>
    <row r="120" spans="1:15" x14ac:dyDescent="0.25">
      <c r="A120" s="39" t="s">
        <v>686</v>
      </c>
      <c r="B120" s="46" t="s">
        <v>280</v>
      </c>
      <c r="C120" s="39" t="s">
        <v>678</v>
      </c>
      <c r="D120" s="102">
        <v>665006199</v>
      </c>
      <c r="E120" s="102">
        <v>2525555817</v>
      </c>
      <c r="F120" s="39" t="s">
        <v>256</v>
      </c>
      <c r="G120" s="81">
        <f>36021+(364+182)</f>
        <v>36567</v>
      </c>
      <c r="H120" s="50" t="str">
        <f t="shared" si="3"/>
        <v>Feb</v>
      </c>
      <c r="I120" s="51">
        <f t="shared" ca="1" si="4"/>
        <v>16</v>
      </c>
      <c r="J120" s="52" t="s">
        <v>276</v>
      </c>
      <c r="K120" s="53">
        <v>45450</v>
      </c>
      <c r="L120" s="54">
        <v>5</v>
      </c>
      <c r="M120" s="59">
        <f t="shared" si="5"/>
        <v>45450</v>
      </c>
    </row>
    <row r="121" spans="1:15" x14ac:dyDescent="0.25">
      <c r="A121" s="39" t="s">
        <v>414</v>
      </c>
      <c r="B121" s="46" t="s">
        <v>245</v>
      </c>
      <c r="C121" s="39" t="s">
        <v>411</v>
      </c>
      <c r="D121" s="102">
        <v>885773638</v>
      </c>
      <c r="E121" s="102">
        <v>9196188082</v>
      </c>
      <c r="F121" s="39" t="s">
        <v>256</v>
      </c>
      <c r="G121" s="81">
        <f>36023+(364+182)</f>
        <v>36569</v>
      </c>
      <c r="H121" s="50" t="str">
        <f t="shared" si="3"/>
        <v>Feb</v>
      </c>
      <c r="I121" s="51">
        <f t="shared" ca="1" si="4"/>
        <v>16</v>
      </c>
      <c r="J121" s="52" t="s">
        <v>283</v>
      </c>
      <c r="K121" s="53">
        <v>75060</v>
      </c>
      <c r="L121" s="54">
        <v>5</v>
      </c>
      <c r="M121" s="59">
        <f t="shared" si="5"/>
        <v>75060</v>
      </c>
    </row>
    <row r="122" spans="1:15" x14ac:dyDescent="0.25">
      <c r="A122" s="39" t="s">
        <v>665</v>
      </c>
      <c r="B122" s="46" t="s">
        <v>245</v>
      </c>
      <c r="C122" s="39" t="s">
        <v>626</v>
      </c>
      <c r="D122" s="102">
        <v>662247915</v>
      </c>
      <c r="E122" s="102">
        <v>9194378387</v>
      </c>
      <c r="F122" s="39" t="s">
        <v>256</v>
      </c>
      <c r="G122" s="81">
        <f>36394+(364+182)</f>
        <v>36940</v>
      </c>
      <c r="H122" s="50" t="str">
        <f t="shared" si="3"/>
        <v>Feb</v>
      </c>
      <c r="I122" s="51">
        <f t="shared" ca="1" si="4"/>
        <v>15</v>
      </c>
      <c r="J122" s="52" t="s">
        <v>257</v>
      </c>
      <c r="K122" s="53">
        <v>48990</v>
      </c>
      <c r="L122" s="54">
        <v>5</v>
      </c>
      <c r="M122" s="59">
        <f t="shared" si="5"/>
        <v>48990</v>
      </c>
    </row>
    <row r="123" spans="1:15" x14ac:dyDescent="0.25">
      <c r="A123" s="39" t="s">
        <v>454</v>
      </c>
      <c r="B123" s="46" t="s">
        <v>271</v>
      </c>
      <c r="C123" s="39" t="s">
        <v>417</v>
      </c>
      <c r="D123" s="102">
        <v>625531462</v>
      </c>
      <c r="E123" s="102">
        <v>2527553017</v>
      </c>
      <c r="F123" s="39" t="s">
        <v>256</v>
      </c>
      <c r="G123" s="81">
        <f>36742+(364+182)</f>
        <v>37288</v>
      </c>
      <c r="H123" s="50" t="str">
        <f t="shared" si="3"/>
        <v>Feb</v>
      </c>
      <c r="I123" s="51">
        <f t="shared" ca="1" si="4"/>
        <v>14</v>
      </c>
      <c r="J123" s="52" t="s">
        <v>257</v>
      </c>
      <c r="K123" s="53">
        <v>42480</v>
      </c>
      <c r="L123" s="54">
        <v>3</v>
      </c>
      <c r="M123" s="59">
        <f t="shared" si="5"/>
        <v>42480</v>
      </c>
    </row>
    <row r="124" spans="1:15" x14ac:dyDescent="0.25">
      <c r="A124" s="39" t="s">
        <v>394</v>
      </c>
      <c r="B124" s="46" t="s">
        <v>280</v>
      </c>
      <c r="C124" s="39" t="s">
        <v>391</v>
      </c>
      <c r="D124" s="102">
        <v>581823751</v>
      </c>
      <c r="E124" s="102">
        <v>2528577225</v>
      </c>
      <c r="F124" s="39" t="s">
        <v>247</v>
      </c>
      <c r="G124" s="81">
        <f>37121+(364+182)</f>
        <v>37667</v>
      </c>
      <c r="H124" s="50" t="str">
        <f t="shared" si="3"/>
        <v>Feb</v>
      </c>
      <c r="I124" s="51">
        <f t="shared" ca="1" si="4"/>
        <v>13</v>
      </c>
      <c r="J124" s="52"/>
      <c r="K124" s="53">
        <v>73390</v>
      </c>
      <c r="L124" s="54">
        <v>2</v>
      </c>
      <c r="M124" s="59">
        <f t="shared" si="5"/>
        <v>73390</v>
      </c>
    </row>
    <row r="125" spans="1:15" x14ac:dyDescent="0.25">
      <c r="A125" s="39" t="s">
        <v>918</v>
      </c>
      <c r="B125" s="46" t="s">
        <v>251</v>
      </c>
      <c r="C125" s="39" t="s">
        <v>856</v>
      </c>
      <c r="D125" s="102">
        <v>626501093</v>
      </c>
      <c r="E125" s="102">
        <v>9192822520</v>
      </c>
      <c r="F125" s="39" t="s">
        <v>247</v>
      </c>
      <c r="G125" s="81">
        <f>37481+(364+182)</f>
        <v>38027</v>
      </c>
      <c r="H125" s="50" t="str">
        <f t="shared" si="3"/>
        <v>Feb</v>
      </c>
      <c r="I125" s="51">
        <f t="shared" ca="1" si="4"/>
        <v>12</v>
      </c>
      <c r="J125" s="52"/>
      <c r="K125" s="53">
        <v>64590</v>
      </c>
      <c r="L125" s="54">
        <v>1</v>
      </c>
      <c r="M125" s="59">
        <f t="shared" si="5"/>
        <v>64590</v>
      </c>
    </row>
    <row r="126" spans="1:15" x14ac:dyDescent="0.25">
      <c r="A126" s="39" t="s">
        <v>489</v>
      </c>
      <c r="B126" s="46" t="s">
        <v>285</v>
      </c>
      <c r="C126" s="39" t="s">
        <v>465</v>
      </c>
      <c r="D126" s="102">
        <v>337370590</v>
      </c>
      <c r="E126" s="102">
        <v>9197046530</v>
      </c>
      <c r="F126" s="39" t="s">
        <v>247</v>
      </c>
      <c r="G126" s="81">
        <f>37498+(364+182)</f>
        <v>38044</v>
      </c>
      <c r="H126" s="50" t="str">
        <f t="shared" si="3"/>
        <v>Feb</v>
      </c>
      <c r="I126" s="51">
        <f t="shared" ca="1" si="4"/>
        <v>12</v>
      </c>
      <c r="J126" s="52"/>
      <c r="K126" s="53">
        <v>57410</v>
      </c>
      <c r="L126" s="54">
        <v>2</v>
      </c>
      <c r="M126" s="59">
        <f t="shared" si="5"/>
        <v>57410</v>
      </c>
    </row>
    <row r="127" spans="1:15" x14ac:dyDescent="0.25">
      <c r="A127" s="39" t="s">
        <v>373</v>
      </c>
      <c r="B127" s="46" t="s">
        <v>271</v>
      </c>
      <c r="C127" s="39" t="s">
        <v>372</v>
      </c>
      <c r="D127" s="102">
        <v>759350847</v>
      </c>
      <c r="E127" s="102">
        <v>2527474942</v>
      </c>
      <c r="F127" s="39" t="s">
        <v>256</v>
      </c>
      <c r="G127" s="81">
        <f>37851+(364+182)</f>
        <v>38397</v>
      </c>
      <c r="H127" s="50" t="str">
        <f t="shared" si="3"/>
        <v>Feb</v>
      </c>
      <c r="I127" s="51">
        <f t="shared" ca="1" si="4"/>
        <v>11</v>
      </c>
      <c r="J127" s="52" t="s">
        <v>257</v>
      </c>
      <c r="K127" s="53">
        <v>36630</v>
      </c>
      <c r="L127" s="54">
        <v>4</v>
      </c>
      <c r="M127" s="59">
        <f t="shared" si="5"/>
        <v>36630</v>
      </c>
    </row>
    <row r="128" spans="1:15" x14ac:dyDescent="0.25">
      <c r="A128" s="39" t="s">
        <v>440</v>
      </c>
      <c r="B128" s="46" t="s">
        <v>285</v>
      </c>
      <c r="C128" s="39" t="s">
        <v>417</v>
      </c>
      <c r="D128" s="102">
        <v>659929807</v>
      </c>
      <c r="E128" s="102">
        <v>9193089561</v>
      </c>
      <c r="F128" s="39" t="s">
        <v>256</v>
      </c>
      <c r="G128" s="81">
        <f>38207+(364+182)</f>
        <v>38753</v>
      </c>
      <c r="H128" s="50" t="str">
        <f t="shared" si="3"/>
        <v>Feb</v>
      </c>
      <c r="I128" s="51">
        <f t="shared" ca="1" si="4"/>
        <v>10</v>
      </c>
      <c r="J128" s="52" t="s">
        <v>257</v>
      </c>
      <c r="K128" s="53">
        <v>22410</v>
      </c>
      <c r="L128" s="54">
        <v>4</v>
      </c>
      <c r="M128" s="59">
        <f t="shared" si="5"/>
        <v>22410</v>
      </c>
    </row>
    <row r="129" spans="1:34" x14ac:dyDescent="0.25">
      <c r="A129" s="39" t="s">
        <v>374</v>
      </c>
      <c r="B129" s="46" t="s">
        <v>285</v>
      </c>
      <c r="C129" s="39" t="s">
        <v>372</v>
      </c>
      <c r="D129" s="102">
        <v>920505896</v>
      </c>
      <c r="E129" s="102">
        <v>2523173691</v>
      </c>
      <c r="F129" s="39" t="s">
        <v>247</v>
      </c>
      <c r="G129" s="81">
        <f>38209+(364+182)</f>
        <v>38755</v>
      </c>
      <c r="H129" s="50" t="str">
        <f t="shared" si="3"/>
        <v>Feb</v>
      </c>
      <c r="I129" s="51">
        <f t="shared" ca="1" si="4"/>
        <v>10</v>
      </c>
      <c r="J129" s="52"/>
      <c r="K129" s="53">
        <v>78860</v>
      </c>
      <c r="L129" s="54">
        <v>2</v>
      </c>
      <c r="M129" s="59">
        <f t="shared" si="5"/>
        <v>78860</v>
      </c>
    </row>
    <row r="130" spans="1:34" s="84" customFormat="1" x14ac:dyDescent="0.25">
      <c r="A130" s="39" t="s">
        <v>807</v>
      </c>
      <c r="B130" s="46" t="s">
        <v>285</v>
      </c>
      <c r="C130" s="39" t="s">
        <v>767</v>
      </c>
      <c r="D130" s="102">
        <v>765512793</v>
      </c>
      <c r="E130" s="102">
        <v>9197686976</v>
      </c>
      <c r="F130" s="39" t="s">
        <v>256</v>
      </c>
      <c r="G130" s="81">
        <f>39318+(364+182)</f>
        <v>39864</v>
      </c>
      <c r="H130" s="50" t="str">
        <f t="shared" si="3"/>
        <v>Feb</v>
      </c>
      <c r="I130" s="51">
        <f t="shared" ca="1" si="4"/>
        <v>7</v>
      </c>
      <c r="J130" s="52" t="s">
        <v>257</v>
      </c>
      <c r="K130" s="53">
        <v>64320</v>
      </c>
      <c r="L130" s="54">
        <v>5</v>
      </c>
      <c r="M130" s="59">
        <f t="shared" si="5"/>
        <v>64320</v>
      </c>
      <c r="N130" s="100"/>
      <c r="O130" s="45"/>
      <c r="P130" s="39"/>
      <c r="Q130" s="39"/>
      <c r="R130" s="39"/>
      <c r="S130" s="39"/>
      <c r="T130" s="39"/>
      <c r="U130" s="39"/>
      <c r="V130" s="39"/>
      <c r="W130" s="39"/>
      <c r="X130" s="39"/>
      <c r="Y130" s="39"/>
      <c r="Z130" s="39"/>
      <c r="AA130" s="39"/>
      <c r="AB130" s="39"/>
      <c r="AC130" s="39"/>
      <c r="AD130" s="39"/>
      <c r="AE130" s="39"/>
      <c r="AF130" s="39"/>
      <c r="AG130" s="39"/>
      <c r="AH130" s="39"/>
    </row>
    <row r="131" spans="1:34" s="84" customFormat="1" x14ac:dyDescent="0.25">
      <c r="A131" s="39" t="s">
        <v>653</v>
      </c>
      <c r="B131" s="46" t="s">
        <v>245</v>
      </c>
      <c r="C131" s="39" t="s">
        <v>626</v>
      </c>
      <c r="D131" s="102">
        <v>132016163</v>
      </c>
      <c r="E131" s="102">
        <v>2527726916</v>
      </c>
      <c r="F131" s="39" t="s">
        <v>261</v>
      </c>
      <c r="G131" s="81">
        <f>39325+(364+182)</f>
        <v>39871</v>
      </c>
      <c r="H131" s="50" t="str">
        <f t="shared" ref="H131:H194" si="6">CHOOSE(MONTH(G131),"Jan","Feb","Mar","Apr","May","Jun","Jul","Aug","Sep","Oct","Nov","Dec")</f>
        <v>Feb</v>
      </c>
      <c r="I131" s="51">
        <f t="shared" ref="I131:I194" ca="1" si="7">DATEDIF(G131,TODAY(),"Y")</f>
        <v>7</v>
      </c>
      <c r="J131" s="52" t="s">
        <v>267</v>
      </c>
      <c r="K131" s="53">
        <v>38575</v>
      </c>
      <c r="L131" s="54">
        <v>2</v>
      </c>
      <c r="M131" s="59">
        <f t="shared" ref="M131:M194" si="8">ROUND(K131*P129+K131,0)</f>
        <v>38575</v>
      </c>
      <c r="N131" s="100"/>
      <c r="O131" s="45"/>
      <c r="P131" s="39"/>
      <c r="Q131" s="39"/>
      <c r="R131" s="39"/>
      <c r="S131" s="39"/>
      <c r="T131" s="39"/>
      <c r="U131" s="39"/>
      <c r="V131" s="39"/>
      <c r="W131" s="39"/>
      <c r="X131" s="39"/>
      <c r="Y131" s="39"/>
      <c r="Z131" s="39"/>
      <c r="AA131" s="39"/>
      <c r="AB131" s="39"/>
      <c r="AC131" s="39"/>
      <c r="AD131" s="39"/>
      <c r="AE131" s="39"/>
      <c r="AF131" s="39"/>
      <c r="AG131" s="39"/>
      <c r="AH131" s="39"/>
    </row>
    <row r="132" spans="1:34" s="84" customFormat="1" x14ac:dyDescent="0.25">
      <c r="A132" s="39" t="s">
        <v>949</v>
      </c>
      <c r="B132" s="46" t="s">
        <v>285</v>
      </c>
      <c r="C132" s="39" t="s">
        <v>930</v>
      </c>
      <c r="D132" s="102">
        <v>794814501</v>
      </c>
      <c r="E132" s="102">
        <v>2525604891</v>
      </c>
      <c r="F132" s="39" t="s">
        <v>247</v>
      </c>
      <c r="G132" s="81">
        <f>39689+(364+182)</f>
        <v>40235</v>
      </c>
      <c r="H132" s="50" t="str">
        <f t="shared" si="6"/>
        <v>Feb</v>
      </c>
      <c r="I132" s="51">
        <f t="shared" ca="1" si="7"/>
        <v>6</v>
      </c>
      <c r="J132" s="52"/>
      <c r="K132" s="53">
        <v>80729</v>
      </c>
      <c r="L132" s="54">
        <v>3</v>
      </c>
      <c r="M132" s="59">
        <f t="shared" si="8"/>
        <v>80729</v>
      </c>
      <c r="N132" s="100"/>
      <c r="O132" s="45"/>
      <c r="P132" s="39"/>
      <c r="Q132" s="39"/>
      <c r="R132" s="39"/>
      <c r="S132" s="39"/>
      <c r="T132" s="39"/>
      <c r="U132" s="39"/>
      <c r="V132" s="39"/>
      <c r="W132" s="39"/>
      <c r="X132" s="39"/>
      <c r="Y132" s="39"/>
      <c r="Z132" s="39"/>
      <c r="AA132" s="39"/>
      <c r="AB132" s="39"/>
      <c r="AC132" s="39"/>
      <c r="AD132" s="39"/>
      <c r="AE132" s="39"/>
      <c r="AF132" s="39"/>
      <c r="AG132" s="39"/>
      <c r="AH132" s="39"/>
    </row>
    <row r="133" spans="1:34" s="84" customFormat="1" x14ac:dyDescent="0.25">
      <c r="A133" s="39" t="s">
        <v>448</v>
      </c>
      <c r="B133" s="46" t="s">
        <v>271</v>
      </c>
      <c r="C133" s="39" t="s">
        <v>417</v>
      </c>
      <c r="D133" s="102">
        <v>232896341</v>
      </c>
      <c r="E133" s="102">
        <v>9197288082</v>
      </c>
      <c r="F133" s="39" t="s">
        <v>247</v>
      </c>
      <c r="G133" s="103">
        <f>39690+(364+182)</f>
        <v>40236</v>
      </c>
      <c r="H133" s="50" t="str">
        <f t="shared" si="6"/>
        <v>Feb</v>
      </c>
      <c r="I133" s="51">
        <f t="shared" ca="1" si="7"/>
        <v>6</v>
      </c>
      <c r="J133" s="52"/>
      <c r="K133" s="53">
        <v>45830</v>
      </c>
      <c r="L133" s="54">
        <v>4</v>
      </c>
      <c r="M133" s="59">
        <f t="shared" si="8"/>
        <v>45830</v>
      </c>
      <c r="N133" s="100"/>
      <c r="O133" s="45"/>
      <c r="P133" s="39"/>
      <c r="Q133" s="39"/>
      <c r="R133" s="39"/>
      <c r="S133" s="39"/>
      <c r="T133" s="39"/>
      <c r="U133" s="39"/>
      <c r="V133" s="39"/>
      <c r="W133" s="39"/>
      <c r="X133" s="39"/>
      <c r="Y133" s="39"/>
      <c r="Z133" s="39"/>
      <c r="AA133" s="39"/>
      <c r="AB133" s="39"/>
      <c r="AC133" s="39"/>
      <c r="AD133" s="39"/>
      <c r="AE133" s="39"/>
      <c r="AF133" s="39"/>
      <c r="AG133" s="39"/>
      <c r="AH133" s="39"/>
    </row>
    <row r="134" spans="1:34" s="84" customFormat="1" x14ac:dyDescent="0.25">
      <c r="A134" s="39" t="s">
        <v>365</v>
      </c>
      <c r="B134" s="46" t="s">
        <v>251</v>
      </c>
      <c r="C134" s="39" t="s">
        <v>312</v>
      </c>
      <c r="D134" s="102">
        <v>877122222</v>
      </c>
      <c r="E134" s="102">
        <v>9195511103</v>
      </c>
      <c r="F134" s="39" t="s">
        <v>256</v>
      </c>
      <c r="G134" s="81">
        <f>40029+(364+182)</f>
        <v>40575</v>
      </c>
      <c r="H134" s="50" t="str">
        <f t="shared" si="6"/>
        <v>Feb</v>
      </c>
      <c r="I134" s="51">
        <f t="shared" ca="1" si="7"/>
        <v>5</v>
      </c>
      <c r="J134" s="52" t="s">
        <v>276</v>
      </c>
      <c r="K134" s="53">
        <v>74710</v>
      </c>
      <c r="L134" s="54">
        <v>2</v>
      </c>
      <c r="M134" s="59">
        <f t="shared" si="8"/>
        <v>74710</v>
      </c>
      <c r="N134" s="100"/>
      <c r="O134" s="45"/>
      <c r="P134" s="39"/>
      <c r="Q134" s="39"/>
      <c r="R134" s="39"/>
      <c r="S134" s="39"/>
      <c r="T134" s="39"/>
      <c r="U134" s="39"/>
      <c r="V134" s="39"/>
      <c r="W134" s="39"/>
      <c r="X134" s="39"/>
      <c r="Y134" s="39"/>
      <c r="Z134" s="39"/>
      <c r="AA134" s="39"/>
      <c r="AB134" s="39"/>
      <c r="AC134" s="39"/>
      <c r="AD134" s="39"/>
      <c r="AE134" s="39"/>
      <c r="AF134" s="39"/>
      <c r="AG134" s="39"/>
      <c r="AH134" s="39"/>
    </row>
    <row r="135" spans="1:34" s="84" customFormat="1" x14ac:dyDescent="0.25">
      <c r="A135" s="39" t="s">
        <v>481</v>
      </c>
      <c r="B135" s="46" t="s">
        <v>245</v>
      </c>
      <c r="C135" s="39" t="s">
        <v>465</v>
      </c>
      <c r="D135" s="102">
        <v>466947318</v>
      </c>
      <c r="E135" s="102">
        <v>9191765611</v>
      </c>
      <c r="F135" s="39" t="s">
        <v>256</v>
      </c>
      <c r="G135" s="81">
        <f>40032+(364+182)</f>
        <v>40578</v>
      </c>
      <c r="H135" s="50" t="str">
        <f t="shared" si="6"/>
        <v>Feb</v>
      </c>
      <c r="I135" s="51">
        <f t="shared" ca="1" si="7"/>
        <v>5</v>
      </c>
      <c r="J135" s="52" t="s">
        <v>257</v>
      </c>
      <c r="K135" s="53">
        <v>43820</v>
      </c>
      <c r="L135" s="54">
        <v>2</v>
      </c>
      <c r="M135" s="59">
        <f t="shared" si="8"/>
        <v>43820</v>
      </c>
      <c r="N135" s="100"/>
      <c r="O135" s="45"/>
      <c r="P135" s="39"/>
      <c r="Q135" s="39"/>
      <c r="R135" s="39"/>
      <c r="S135" s="39"/>
      <c r="T135" s="39"/>
      <c r="U135" s="39"/>
      <c r="V135" s="39"/>
      <c r="W135" s="39"/>
      <c r="X135" s="39"/>
      <c r="Y135" s="39"/>
      <c r="Z135" s="39"/>
      <c r="AA135" s="39"/>
      <c r="AB135" s="39"/>
      <c r="AC135" s="39"/>
      <c r="AD135" s="39"/>
      <c r="AE135" s="39"/>
      <c r="AF135" s="39"/>
      <c r="AG135" s="39"/>
      <c r="AH135" s="39"/>
    </row>
    <row r="136" spans="1:34" s="84" customFormat="1" x14ac:dyDescent="0.25">
      <c r="A136" s="39" t="s">
        <v>883</v>
      </c>
      <c r="B136" s="46" t="s">
        <v>285</v>
      </c>
      <c r="C136" s="39" t="s">
        <v>856</v>
      </c>
      <c r="D136" s="102">
        <v>323701315</v>
      </c>
      <c r="E136" s="102">
        <v>9194479196</v>
      </c>
      <c r="F136" s="39" t="s">
        <v>256</v>
      </c>
      <c r="G136" s="81">
        <f>40035+(364+182)</f>
        <v>40581</v>
      </c>
      <c r="H136" s="50" t="str">
        <f t="shared" si="6"/>
        <v>Feb</v>
      </c>
      <c r="I136" s="51">
        <f t="shared" ca="1" si="7"/>
        <v>5</v>
      </c>
      <c r="J136" s="52" t="s">
        <v>267</v>
      </c>
      <c r="K136" s="53">
        <v>80260</v>
      </c>
      <c r="L136" s="54">
        <v>3</v>
      </c>
      <c r="M136" s="59">
        <f t="shared" si="8"/>
        <v>80260</v>
      </c>
      <c r="N136" s="100"/>
      <c r="O136" s="45"/>
      <c r="P136" s="39"/>
      <c r="Q136" s="39"/>
      <c r="R136" s="39"/>
      <c r="S136" s="39"/>
      <c r="T136" s="39"/>
      <c r="U136" s="39"/>
      <c r="V136" s="39"/>
      <c r="W136" s="39"/>
      <c r="X136" s="39"/>
      <c r="Y136" s="39"/>
      <c r="Z136" s="39"/>
      <c r="AA136" s="39"/>
      <c r="AB136" s="39"/>
      <c r="AC136" s="39"/>
      <c r="AD136" s="39"/>
      <c r="AE136" s="39"/>
      <c r="AF136" s="39"/>
      <c r="AG136" s="39"/>
      <c r="AH136" s="39"/>
    </row>
    <row r="137" spans="1:34" s="84" customFormat="1" x14ac:dyDescent="0.25">
      <c r="A137" s="39" t="s">
        <v>340</v>
      </c>
      <c r="B137" s="46" t="s">
        <v>285</v>
      </c>
      <c r="C137" s="39" t="s">
        <v>312</v>
      </c>
      <c r="D137" s="102">
        <v>129397083</v>
      </c>
      <c r="E137" s="102">
        <v>2521391475</v>
      </c>
      <c r="F137" s="39" t="s">
        <v>256</v>
      </c>
      <c r="G137" s="81">
        <f>40050+(364+182)</f>
        <v>40596</v>
      </c>
      <c r="H137" s="50" t="str">
        <f t="shared" si="6"/>
        <v>Feb</v>
      </c>
      <c r="I137" s="51">
        <f t="shared" ca="1" si="7"/>
        <v>5</v>
      </c>
      <c r="J137" s="52" t="s">
        <v>267</v>
      </c>
      <c r="K137" s="53">
        <v>68910</v>
      </c>
      <c r="L137" s="54">
        <v>5</v>
      </c>
      <c r="M137" s="59">
        <f t="shared" si="8"/>
        <v>68910</v>
      </c>
      <c r="N137" s="100"/>
      <c r="O137" s="45"/>
      <c r="P137" s="39"/>
      <c r="Q137" s="39"/>
      <c r="R137" s="39"/>
      <c r="S137" s="39"/>
      <c r="T137" s="39"/>
      <c r="U137" s="39"/>
      <c r="V137" s="39"/>
      <c r="W137" s="39"/>
      <c r="X137" s="39"/>
      <c r="Y137" s="39"/>
      <c r="Z137" s="39"/>
      <c r="AA137" s="39"/>
      <c r="AB137" s="39"/>
      <c r="AC137" s="39"/>
      <c r="AD137" s="39"/>
      <c r="AE137" s="39"/>
      <c r="AF137" s="39"/>
      <c r="AG137" s="39"/>
      <c r="AH137" s="39"/>
    </row>
    <row r="138" spans="1:34" s="84" customFormat="1" x14ac:dyDescent="0.25">
      <c r="A138" s="39" t="s">
        <v>654</v>
      </c>
      <c r="B138" s="46" t="s">
        <v>285</v>
      </c>
      <c r="C138" s="39" t="s">
        <v>626</v>
      </c>
      <c r="D138" s="102">
        <v>643272576</v>
      </c>
      <c r="E138" s="102">
        <v>2522256131</v>
      </c>
      <c r="F138" s="39" t="s">
        <v>252</v>
      </c>
      <c r="G138" s="81">
        <f>32759+(364+182)</f>
        <v>33305</v>
      </c>
      <c r="H138" s="50" t="str">
        <f t="shared" si="6"/>
        <v>Mar</v>
      </c>
      <c r="I138" s="51">
        <f t="shared" ca="1" si="7"/>
        <v>25</v>
      </c>
      <c r="J138" s="52"/>
      <c r="K138" s="53">
        <v>36844</v>
      </c>
      <c r="L138" s="54">
        <v>4</v>
      </c>
      <c r="M138" s="59">
        <f t="shared" si="8"/>
        <v>36844</v>
      </c>
      <c r="N138" s="100"/>
      <c r="O138" s="45"/>
      <c r="P138" s="39"/>
      <c r="Q138" s="39"/>
      <c r="R138" s="39"/>
      <c r="S138" s="39"/>
      <c r="T138" s="39"/>
      <c r="U138" s="39"/>
      <c r="V138" s="39"/>
      <c r="W138" s="39"/>
      <c r="X138" s="39"/>
      <c r="Y138" s="39"/>
      <c r="Z138" s="39"/>
      <c r="AA138" s="39"/>
      <c r="AB138" s="39"/>
      <c r="AC138" s="39"/>
      <c r="AD138" s="39"/>
      <c r="AE138" s="39"/>
      <c r="AF138" s="39"/>
      <c r="AG138" s="39"/>
      <c r="AH138" s="39"/>
    </row>
    <row r="139" spans="1:34" s="84" customFormat="1" x14ac:dyDescent="0.25">
      <c r="A139" s="39" t="s">
        <v>643</v>
      </c>
      <c r="B139" s="46" t="s">
        <v>271</v>
      </c>
      <c r="C139" s="39" t="s">
        <v>626</v>
      </c>
      <c r="D139" s="102">
        <v>555025137</v>
      </c>
      <c r="E139" s="102">
        <v>2526565171</v>
      </c>
      <c r="F139" s="39" t="s">
        <v>261</v>
      </c>
      <c r="G139" s="81">
        <f>32773+(364+182)</f>
        <v>33319</v>
      </c>
      <c r="H139" s="50" t="str">
        <f t="shared" si="6"/>
        <v>Mar</v>
      </c>
      <c r="I139" s="51">
        <f t="shared" ca="1" si="7"/>
        <v>25</v>
      </c>
      <c r="J139" s="52" t="s">
        <v>267</v>
      </c>
      <c r="K139" s="53">
        <v>13090</v>
      </c>
      <c r="L139" s="54">
        <v>4</v>
      </c>
      <c r="M139" s="59">
        <f t="shared" si="8"/>
        <v>13090</v>
      </c>
      <c r="N139" s="100"/>
      <c r="O139" s="45"/>
      <c r="P139" s="39"/>
      <c r="Q139" s="39"/>
      <c r="R139" s="39"/>
      <c r="S139" s="39"/>
      <c r="T139" s="39"/>
      <c r="U139" s="39"/>
      <c r="V139" s="39"/>
      <c r="W139" s="39"/>
      <c r="X139" s="39"/>
      <c r="Y139" s="39"/>
      <c r="Z139" s="39"/>
      <c r="AA139" s="39"/>
      <c r="AB139" s="39"/>
      <c r="AC139" s="39"/>
      <c r="AD139" s="39"/>
      <c r="AE139" s="39"/>
      <c r="AF139" s="39"/>
      <c r="AG139" s="39"/>
      <c r="AH139" s="39"/>
    </row>
    <row r="140" spans="1:34" s="84" customFormat="1" x14ac:dyDescent="0.25">
      <c r="A140" s="39" t="s">
        <v>759</v>
      </c>
      <c r="B140" s="46" t="s">
        <v>271</v>
      </c>
      <c r="C140" s="39" t="s">
        <v>750</v>
      </c>
      <c r="D140" s="102">
        <v>967826310</v>
      </c>
      <c r="E140" s="102">
        <v>9196100410</v>
      </c>
      <c r="F140" s="39" t="s">
        <v>256</v>
      </c>
      <c r="G140" s="81">
        <f>32774+(364+182)</f>
        <v>33320</v>
      </c>
      <c r="H140" s="50" t="str">
        <f t="shared" si="6"/>
        <v>Mar</v>
      </c>
      <c r="I140" s="51">
        <f t="shared" ca="1" si="7"/>
        <v>25</v>
      </c>
      <c r="J140" s="52" t="s">
        <v>276</v>
      </c>
      <c r="K140" s="53">
        <v>35320</v>
      </c>
      <c r="L140" s="54">
        <v>3</v>
      </c>
      <c r="M140" s="59">
        <f t="shared" si="8"/>
        <v>35320</v>
      </c>
      <c r="N140" s="100"/>
      <c r="O140" s="45"/>
      <c r="P140" s="39"/>
      <c r="Q140" s="39"/>
      <c r="R140" s="39"/>
      <c r="S140" s="39"/>
      <c r="T140" s="39"/>
      <c r="U140" s="39"/>
      <c r="V140" s="39"/>
      <c r="W140" s="39"/>
      <c r="X140" s="39"/>
      <c r="Y140" s="39"/>
      <c r="Z140" s="39"/>
      <c r="AA140" s="39"/>
      <c r="AB140" s="39"/>
      <c r="AC140" s="39"/>
      <c r="AD140" s="39"/>
      <c r="AE140" s="39"/>
      <c r="AF140" s="39"/>
      <c r="AG140" s="39"/>
      <c r="AH140" s="39"/>
    </row>
    <row r="141" spans="1:34" s="84" customFormat="1" x14ac:dyDescent="0.25">
      <c r="A141" s="39" t="s">
        <v>809</v>
      </c>
      <c r="B141" s="46" t="s">
        <v>245</v>
      </c>
      <c r="C141" s="39" t="s">
        <v>767</v>
      </c>
      <c r="D141" s="102">
        <v>378882665</v>
      </c>
      <c r="E141" s="102">
        <v>2526079829</v>
      </c>
      <c r="F141" s="39" t="s">
        <v>261</v>
      </c>
      <c r="G141" s="81">
        <f>33125+(364+182)</f>
        <v>33671</v>
      </c>
      <c r="H141" s="50" t="str">
        <f t="shared" si="6"/>
        <v>Mar</v>
      </c>
      <c r="I141" s="51">
        <f t="shared" ca="1" si="7"/>
        <v>24</v>
      </c>
      <c r="J141" s="52" t="s">
        <v>257</v>
      </c>
      <c r="K141" s="53">
        <v>46380</v>
      </c>
      <c r="L141" s="54">
        <v>3</v>
      </c>
      <c r="M141" s="59">
        <f t="shared" si="8"/>
        <v>46380</v>
      </c>
      <c r="N141" s="100"/>
      <c r="O141" s="45"/>
      <c r="P141" s="39"/>
      <c r="Q141" s="39"/>
      <c r="R141" s="39"/>
      <c r="S141" s="39"/>
      <c r="T141" s="39"/>
      <c r="U141" s="39"/>
      <c r="V141" s="39"/>
      <c r="W141" s="39"/>
      <c r="X141" s="39"/>
      <c r="Y141" s="39"/>
      <c r="Z141" s="39"/>
      <c r="AA141" s="39"/>
      <c r="AB141" s="39"/>
      <c r="AC141" s="39"/>
      <c r="AD141" s="39"/>
      <c r="AE141" s="39"/>
      <c r="AF141" s="39"/>
      <c r="AG141" s="39"/>
      <c r="AH141" s="39"/>
    </row>
    <row r="142" spans="1:34" s="84" customFormat="1" x14ac:dyDescent="0.25">
      <c r="A142" s="39" t="s">
        <v>349</v>
      </c>
      <c r="B142" s="46" t="s">
        <v>251</v>
      </c>
      <c r="C142" s="39" t="s">
        <v>312</v>
      </c>
      <c r="D142" s="102">
        <v>403504590</v>
      </c>
      <c r="E142" s="102">
        <v>9192400511</v>
      </c>
      <c r="F142" s="39" t="s">
        <v>247</v>
      </c>
      <c r="G142" s="81">
        <f>33132+(364+182)</f>
        <v>33678</v>
      </c>
      <c r="H142" s="50" t="str">
        <f t="shared" si="6"/>
        <v>Mar</v>
      </c>
      <c r="I142" s="51">
        <f t="shared" ca="1" si="7"/>
        <v>24</v>
      </c>
      <c r="J142" s="52"/>
      <c r="K142" s="53">
        <v>64460</v>
      </c>
      <c r="L142" s="54">
        <v>1</v>
      </c>
      <c r="M142" s="59">
        <f t="shared" si="8"/>
        <v>64460</v>
      </c>
      <c r="N142" s="100"/>
      <c r="O142" s="45"/>
      <c r="P142" s="39"/>
      <c r="Q142" s="39"/>
      <c r="R142" s="39"/>
      <c r="S142" s="39"/>
      <c r="T142" s="39"/>
      <c r="U142" s="39"/>
      <c r="V142" s="39"/>
      <c r="W142" s="39"/>
      <c r="X142" s="39"/>
      <c r="Y142" s="39"/>
      <c r="Z142" s="39"/>
      <c r="AA142" s="39"/>
      <c r="AB142" s="39"/>
      <c r="AC142" s="39"/>
      <c r="AD142" s="39"/>
      <c r="AE142" s="39"/>
      <c r="AF142" s="39"/>
      <c r="AG142" s="39"/>
      <c r="AH142" s="39"/>
    </row>
    <row r="143" spans="1:34" s="84" customFormat="1" x14ac:dyDescent="0.25">
      <c r="A143" s="39" t="s">
        <v>980</v>
      </c>
      <c r="B143" s="46" t="s">
        <v>285</v>
      </c>
      <c r="C143" s="39" t="s">
        <v>930</v>
      </c>
      <c r="D143" s="102">
        <v>283476654</v>
      </c>
      <c r="E143" s="102">
        <v>9197049910</v>
      </c>
      <c r="F143" s="39" t="s">
        <v>256</v>
      </c>
      <c r="G143" s="81">
        <f>33135+(364+182)</f>
        <v>33681</v>
      </c>
      <c r="H143" s="50" t="str">
        <f t="shared" si="6"/>
        <v>Mar</v>
      </c>
      <c r="I143" s="51">
        <f t="shared" ca="1" si="7"/>
        <v>24</v>
      </c>
      <c r="J143" s="52" t="s">
        <v>262</v>
      </c>
      <c r="K143" s="53">
        <v>46550</v>
      </c>
      <c r="L143" s="54">
        <v>4</v>
      </c>
      <c r="M143" s="59">
        <f t="shared" si="8"/>
        <v>46550</v>
      </c>
      <c r="N143" s="100"/>
      <c r="O143" s="45"/>
      <c r="P143" s="39"/>
      <c r="Q143" s="39"/>
      <c r="R143" s="39"/>
      <c r="S143" s="39"/>
      <c r="T143" s="39"/>
      <c r="U143" s="39"/>
      <c r="V143" s="39"/>
      <c r="W143" s="39"/>
      <c r="X143" s="39"/>
      <c r="Y143" s="39"/>
      <c r="Z143" s="39"/>
      <c r="AA143" s="39"/>
      <c r="AB143" s="39"/>
      <c r="AC143" s="39"/>
      <c r="AD143" s="39"/>
      <c r="AE143" s="39"/>
      <c r="AF143" s="39"/>
      <c r="AG143" s="39"/>
      <c r="AH143" s="39"/>
    </row>
    <row r="144" spans="1:34" s="84" customFormat="1" x14ac:dyDescent="0.25">
      <c r="A144" s="39" t="s">
        <v>876</v>
      </c>
      <c r="B144" s="46" t="s">
        <v>285</v>
      </c>
      <c r="C144" s="39" t="s">
        <v>856</v>
      </c>
      <c r="D144" s="102">
        <v>622200296</v>
      </c>
      <c r="E144" s="102">
        <v>2526306545</v>
      </c>
      <c r="F144" s="39" t="s">
        <v>256</v>
      </c>
      <c r="G144" s="81">
        <f>33139+(364+182)</f>
        <v>33685</v>
      </c>
      <c r="H144" s="50" t="str">
        <f t="shared" si="6"/>
        <v>Mar</v>
      </c>
      <c r="I144" s="51">
        <f t="shared" ca="1" si="7"/>
        <v>24</v>
      </c>
      <c r="J144" s="52" t="s">
        <v>257</v>
      </c>
      <c r="K144" s="53">
        <v>65571</v>
      </c>
      <c r="L144" s="54">
        <v>3</v>
      </c>
      <c r="M144" s="59">
        <f t="shared" si="8"/>
        <v>65571</v>
      </c>
      <c r="N144" s="100"/>
      <c r="O144" s="45"/>
      <c r="P144" s="39"/>
      <c r="Q144" s="39"/>
      <c r="R144" s="39"/>
      <c r="S144" s="39"/>
      <c r="T144" s="39"/>
      <c r="U144" s="39"/>
      <c r="V144" s="39"/>
      <c r="W144" s="39"/>
      <c r="X144" s="39"/>
      <c r="Y144" s="39"/>
      <c r="Z144" s="39"/>
      <c r="AA144" s="39"/>
      <c r="AB144" s="39"/>
      <c r="AC144" s="39"/>
      <c r="AD144" s="39"/>
      <c r="AE144" s="39"/>
      <c r="AF144" s="39"/>
      <c r="AG144" s="39"/>
      <c r="AH144" s="39"/>
    </row>
    <row r="145" spans="1:34" s="84" customFormat="1" x14ac:dyDescent="0.25">
      <c r="A145" s="39" t="s">
        <v>474</v>
      </c>
      <c r="B145" s="46" t="s">
        <v>251</v>
      </c>
      <c r="C145" s="39" t="s">
        <v>465</v>
      </c>
      <c r="D145" s="102">
        <v>884025623</v>
      </c>
      <c r="E145" s="102">
        <v>2521280865</v>
      </c>
      <c r="F145" s="39" t="s">
        <v>247</v>
      </c>
      <c r="G145" s="81">
        <f>33485+(364+182)</f>
        <v>34031</v>
      </c>
      <c r="H145" s="50" t="str">
        <f t="shared" si="6"/>
        <v>Mar</v>
      </c>
      <c r="I145" s="51">
        <f t="shared" ca="1" si="7"/>
        <v>23</v>
      </c>
      <c r="J145" s="52"/>
      <c r="K145" s="53">
        <v>64430</v>
      </c>
      <c r="L145" s="54">
        <v>4</v>
      </c>
      <c r="M145" s="59">
        <f t="shared" si="8"/>
        <v>64430</v>
      </c>
      <c r="N145" s="100"/>
      <c r="O145" s="45"/>
      <c r="P145" s="39"/>
      <c r="Q145" s="39"/>
      <c r="R145" s="39"/>
      <c r="S145" s="39"/>
      <c r="T145" s="39"/>
      <c r="U145" s="39"/>
      <c r="V145" s="39"/>
      <c r="W145" s="39"/>
      <c r="X145" s="39"/>
      <c r="Y145" s="39"/>
      <c r="Z145" s="39"/>
      <c r="AA145" s="39"/>
      <c r="AB145" s="39"/>
      <c r="AC145" s="39"/>
      <c r="AD145" s="39"/>
      <c r="AE145" s="39"/>
      <c r="AF145" s="39"/>
      <c r="AG145" s="39"/>
      <c r="AH145" s="39"/>
    </row>
    <row r="146" spans="1:34" s="84" customFormat="1" x14ac:dyDescent="0.25">
      <c r="A146" s="39" t="s">
        <v>638</v>
      </c>
      <c r="B146" s="46" t="s">
        <v>285</v>
      </c>
      <c r="C146" s="39" t="s">
        <v>626</v>
      </c>
      <c r="D146" s="102">
        <v>254201611</v>
      </c>
      <c r="E146" s="102">
        <v>9197803578</v>
      </c>
      <c r="F146" s="39" t="s">
        <v>256</v>
      </c>
      <c r="G146" s="81">
        <f>33488+(364+182)</f>
        <v>34034</v>
      </c>
      <c r="H146" s="50" t="str">
        <f t="shared" si="6"/>
        <v>Mar</v>
      </c>
      <c r="I146" s="51">
        <f t="shared" ca="1" si="7"/>
        <v>23</v>
      </c>
      <c r="J146" s="52" t="s">
        <v>267</v>
      </c>
      <c r="K146" s="53">
        <v>45180</v>
      </c>
      <c r="L146" s="54">
        <v>5</v>
      </c>
      <c r="M146" s="59">
        <f t="shared" si="8"/>
        <v>45180</v>
      </c>
      <c r="N146" s="100"/>
      <c r="O146" s="45"/>
      <c r="P146" s="39"/>
      <c r="Q146" s="39"/>
      <c r="R146" s="39"/>
      <c r="S146" s="39"/>
      <c r="T146" s="39"/>
      <c r="U146" s="39"/>
      <c r="V146" s="39"/>
      <c r="W146" s="39"/>
      <c r="X146" s="39"/>
      <c r="Y146" s="39"/>
      <c r="Z146" s="39"/>
      <c r="AA146" s="39"/>
      <c r="AB146" s="39"/>
      <c r="AC146" s="39"/>
      <c r="AD146" s="39"/>
      <c r="AE146" s="39"/>
      <c r="AF146" s="39"/>
      <c r="AG146" s="39"/>
      <c r="AH146" s="39"/>
    </row>
    <row r="147" spans="1:34" s="84" customFormat="1" x14ac:dyDescent="0.25">
      <c r="A147" s="39" t="s">
        <v>987</v>
      </c>
      <c r="B147" s="46" t="s">
        <v>271</v>
      </c>
      <c r="C147" s="39" t="s">
        <v>930</v>
      </c>
      <c r="D147" s="102">
        <v>750006979</v>
      </c>
      <c r="E147" s="102">
        <v>2528444054</v>
      </c>
      <c r="F147" s="39" t="s">
        <v>261</v>
      </c>
      <c r="G147" s="81">
        <f>33496+(364+182)</f>
        <v>34042</v>
      </c>
      <c r="H147" s="50" t="str">
        <f t="shared" si="6"/>
        <v>Mar</v>
      </c>
      <c r="I147" s="51">
        <f t="shared" ca="1" si="7"/>
        <v>23</v>
      </c>
      <c r="J147" s="52" t="s">
        <v>267</v>
      </c>
      <c r="K147" s="53">
        <v>27710</v>
      </c>
      <c r="L147" s="54">
        <v>3</v>
      </c>
      <c r="M147" s="59">
        <f t="shared" si="8"/>
        <v>27710</v>
      </c>
      <c r="N147" s="100"/>
      <c r="O147" s="45"/>
      <c r="P147" s="39"/>
      <c r="Q147" s="39"/>
      <c r="R147" s="39"/>
      <c r="S147" s="39"/>
      <c r="T147" s="39"/>
      <c r="U147" s="39"/>
      <c r="V147" s="39"/>
      <c r="W147" s="39"/>
      <c r="X147" s="39"/>
      <c r="Y147" s="39"/>
      <c r="Z147" s="39"/>
      <c r="AA147" s="39"/>
      <c r="AB147" s="39"/>
      <c r="AC147" s="39"/>
      <c r="AD147" s="39"/>
      <c r="AE147" s="39"/>
      <c r="AF147" s="39"/>
      <c r="AG147" s="39"/>
      <c r="AH147" s="39"/>
    </row>
    <row r="148" spans="1:34" s="84" customFormat="1" x14ac:dyDescent="0.25">
      <c r="A148" s="39" t="s">
        <v>565</v>
      </c>
      <c r="B148" s="46" t="s">
        <v>245</v>
      </c>
      <c r="C148" s="39" t="s">
        <v>465</v>
      </c>
      <c r="D148" s="102">
        <v>138607245</v>
      </c>
      <c r="E148" s="102">
        <v>2522140101</v>
      </c>
      <c r="F148" s="39" t="s">
        <v>247</v>
      </c>
      <c r="G148" s="81">
        <f>33507+(364+182)</f>
        <v>34053</v>
      </c>
      <c r="H148" s="50" t="str">
        <f t="shared" si="6"/>
        <v>Mar</v>
      </c>
      <c r="I148" s="51">
        <f t="shared" ca="1" si="7"/>
        <v>23</v>
      </c>
      <c r="J148" s="52"/>
      <c r="K148" s="53">
        <v>79220</v>
      </c>
      <c r="L148" s="54">
        <v>4</v>
      </c>
      <c r="M148" s="59">
        <f t="shared" si="8"/>
        <v>79220</v>
      </c>
      <c r="N148" s="100"/>
      <c r="O148" s="45"/>
      <c r="P148" s="39"/>
      <c r="Q148" s="39"/>
      <c r="R148" s="39"/>
      <c r="S148" s="39"/>
      <c r="T148" s="39"/>
      <c r="U148" s="39"/>
      <c r="V148" s="39"/>
      <c r="W148" s="39"/>
      <c r="X148" s="39"/>
      <c r="Y148" s="39"/>
      <c r="Z148" s="39"/>
      <c r="AA148" s="39"/>
      <c r="AB148" s="39"/>
      <c r="AC148" s="39"/>
      <c r="AD148" s="39"/>
      <c r="AE148" s="39"/>
      <c r="AF148" s="39"/>
      <c r="AG148" s="39"/>
      <c r="AH148" s="39"/>
    </row>
    <row r="149" spans="1:34" s="84" customFormat="1" x14ac:dyDescent="0.25">
      <c r="A149" s="39" t="s">
        <v>652</v>
      </c>
      <c r="B149" s="46" t="s">
        <v>266</v>
      </c>
      <c r="C149" s="39" t="s">
        <v>626</v>
      </c>
      <c r="D149" s="102">
        <v>466400098</v>
      </c>
      <c r="E149" s="102">
        <v>2524652136</v>
      </c>
      <c r="F149" s="39" t="s">
        <v>247</v>
      </c>
      <c r="G149" s="81">
        <f>33508+(364+182)</f>
        <v>34054</v>
      </c>
      <c r="H149" s="50" t="str">
        <f t="shared" si="6"/>
        <v>Mar</v>
      </c>
      <c r="I149" s="51">
        <f t="shared" ca="1" si="7"/>
        <v>23</v>
      </c>
      <c r="J149" s="52"/>
      <c r="K149" s="53">
        <v>29000</v>
      </c>
      <c r="L149" s="54">
        <v>5</v>
      </c>
      <c r="M149" s="59">
        <f t="shared" si="8"/>
        <v>29000</v>
      </c>
      <c r="N149" s="100"/>
      <c r="O149" s="45"/>
      <c r="P149" s="39"/>
      <c r="Q149" s="39"/>
      <c r="R149" s="39"/>
      <c r="S149" s="39"/>
      <c r="T149" s="39"/>
      <c r="U149" s="39"/>
      <c r="V149" s="39"/>
      <c r="W149" s="39"/>
      <c r="X149" s="39"/>
      <c r="Y149" s="39"/>
      <c r="Z149" s="39"/>
      <c r="AA149" s="39"/>
      <c r="AB149" s="39"/>
      <c r="AC149" s="39"/>
      <c r="AD149" s="39"/>
      <c r="AE149" s="39"/>
      <c r="AF149" s="39"/>
      <c r="AG149" s="39"/>
      <c r="AH149" s="39"/>
    </row>
    <row r="150" spans="1:34" s="84" customFormat="1" x14ac:dyDescent="0.25">
      <c r="A150" s="39" t="s">
        <v>463</v>
      </c>
      <c r="B150" s="46" t="s">
        <v>271</v>
      </c>
      <c r="C150" s="39" t="s">
        <v>456</v>
      </c>
      <c r="D150" s="102">
        <v>244171882</v>
      </c>
      <c r="E150" s="102">
        <v>2527577867</v>
      </c>
      <c r="F150" s="39" t="s">
        <v>261</v>
      </c>
      <c r="G150" s="81">
        <f>33855+(364+182)</f>
        <v>34401</v>
      </c>
      <c r="H150" s="50" t="str">
        <f t="shared" si="6"/>
        <v>Mar</v>
      </c>
      <c r="I150" s="51">
        <f t="shared" ca="1" si="7"/>
        <v>22</v>
      </c>
      <c r="J150" s="52" t="s">
        <v>267</v>
      </c>
      <c r="K150" s="53">
        <v>89780</v>
      </c>
      <c r="L150" s="54">
        <v>4</v>
      </c>
      <c r="M150" s="59">
        <f t="shared" si="8"/>
        <v>89780</v>
      </c>
      <c r="N150" s="100"/>
      <c r="O150" s="45"/>
      <c r="P150" s="39"/>
      <c r="Q150" s="39"/>
      <c r="R150" s="39"/>
      <c r="S150" s="39"/>
      <c r="T150" s="39"/>
      <c r="U150" s="39"/>
      <c r="V150" s="39"/>
      <c r="W150" s="39"/>
      <c r="X150" s="39"/>
      <c r="Y150" s="39"/>
      <c r="Z150" s="39"/>
      <c r="AA150" s="39"/>
      <c r="AB150" s="39"/>
      <c r="AC150" s="39"/>
      <c r="AD150" s="39"/>
      <c r="AE150" s="39"/>
      <c r="AF150" s="39"/>
      <c r="AG150" s="39"/>
      <c r="AH150" s="39"/>
    </row>
    <row r="151" spans="1:34" s="84" customFormat="1" x14ac:dyDescent="0.25">
      <c r="A151" s="39" t="s">
        <v>518</v>
      </c>
      <c r="B151" s="46" t="s">
        <v>271</v>
      </c>
      <c r="C151" s="39" t="s">
        <v>465</v>
      </c>
      <c r="D151" s="102">
        <v>775217609</v>
      </c>
      <c r="E151" s="102">
        <v>9191591006</v>
      </c>
      <c r="F151" s="39" t="s">
        <v>256</v>
      </c>
      <c r="G151" s="81">
        <f>33858+(364+182)</f>
        <v>34404</v>
      </c>
      <c r="H151" s="50" t="str">
        <f t="shared" si="6"/>
        <v>Mar</v>
      </c>
      <c r="I151" s="51">
        <f t="shared" ca="1" si="7"/>
        <v>22</v>
      </c>
      <c r="J151" s="52" t="s">
        <v>283</v>
      </c>
      <c r="K151" s="53">
        <v>24710</v>
      </c>
      <c r="L151" s="54">
        <v>2</v>
      </c>
      <c r="M151" s="59">
        <f t="shared" si="8"/>
        <v>24710</v>
      </c>
      <c r="N151" s="100"/>
      <c r="O151" s="45"/>
      <c r="P151" s="39"/>
      <c r="Q151" s="39"/>
      <c r="R151" s="39"/>
      <c r="S151" s="39"/>
      <c r="T151" s="39"/>
      <c r="U151" s="39"/>
      <c r="V151" s="39"/>
      <c r="W151" s="39"/>
      <c r="X151" s="39"/>
      <c r="Y151" s="39"/>
      <c r="Z151" s="39"/>
      <c r="AA151" s="39"/>
      <c r="AB151" s="39"/>
      <c r="AC151" s="39"/>
      <c r="AD151" s="39"/>
      <c r="AE151" s="39"/>
      <c r="AF151" s="39"/>
      <c r="AG151" s="39"/>
      <c r="AH151" s="39"/>
    </row>
    <row r="152" spans="1:34" s="84" customFormat="1" x14ac:dyDescent="0.25">
      <c r="A152" s="39" t="s">
        <v>702</v>
      </c>
      <c r="B152" s="46" t="s">
        <v>245</v>
      </c>
      <c r="C152" s="39" t="s">
        <v>700</v>
      </c>
      <c r="D152" s="102">
        <v>425943144</v>
      </c>
      <c r="E152" s="102">
        <v>2522911046</v>
      </c>
      <c r="F152" s="39" t="s">
        <v>247</v>
      </c>
      <c r="G152" s="81">
        <f>33862+(364+182)</f>
        <v>34408</v>
      </c>
      <c r="H152" s="50" t="str">
        <f t="shared" si="6"/>
        <v>Mar</v>
      </c>
      <c r="I152" s="51">
        <f t="shared" ca="1" si="7"/>
        <v>22</v>
      </c>
      <c r="J152" s="52"/>
      <c r="K152" s="53">
        <v>71700</v>
      </c>
      <c r="L152" s="54">
        <v>2</v>
      </c>
      <c r="M152" s="59">
        <f t="shared" si="8"/>
        <v>71700</v>
      </c>
      <c r="N152" s="100"/>
      <c r="O152" s="45"/>
      <c r="P152" s="39"/>
      <c r="Q152" s="39"/>
      <c r="R152" s="39"/>
      <c r="S152" s="39"/>
      <c r="T152" s="39"/>
      <c r="U152" s="39"/>
      <c r="V152" s="39"/>
      <c r="W152" s="39"/>
      <c r="X152" s="39"/>
      <c r="Y152" s="39"/>
      <c r="Z152" s="39"/>
      <c r="AA152" s="39"/>
      <c r="AB152" s="39"/>
      <c r="AC152" s="39"/>
      <c r="AD152" s="39"/>
      <c r="AE152" s="39"/>
      <c r="AF152" s="39"/>
      <c r="AG152" s="39"/>
      <c r="AH152" s="39"/>
    </row>
    <row r="153" spans="1:34" s="84" customFormat="1" x14ac:dyDescent="0.25">
      <c r="A153" s="39" t="s">
        <v>430</v>
      </c>
      <c r="B153" s="46" t="s">
        <v>245</v>
      </c>
      <c r="C153" s="39" t="s">
        <v>417</v>
      </c>
      <c r="D153" s="102">
        <v>870601943</v>
      </c>
      <c r="E153" s="102">
        <v>9196097340</v>
      </c>
      <c r="F153" s="39" t="s">
        <v>247</v>
      </c>
      <c r="G153" s="81">
        <f>34215+(364+182)</f>
        <v>34761</v>
      </c>
      <c r="H153" s="50" t="str">
        <f t="shared" si="6"/>
        <v>Mar</v>
      </c>
      <c r="I153" s="51">
        <f t="shared" ca="1" si="7"/>
        <v>21</v>
      </c>
      <c r="J153" s="52"/>
      <c r="K153" s="53">
        <v>45040</v>
      </c>
      <c r="L153" s="54">
        <v>5</v>
      </c>
      <c r="M153" s="59">
        <f t="shared" si="8"/>
        <v>45040</v>
      </c>
      <c r="N153" s="100"/>
      <c r="O153" s="45"/>
      <c r="P153" s="39"/>
      <c r="Q153" s="39"/>
      <c r="R153" s="39"/>
      <c r="S153" s="39"/>
      <c r="T153" s="39"/>
      <c r="U153" s="39"/>
      <c r="V153" s="39"/>
      <c r="W153" s="39"/>
      <c r="X153" s="39"/>
      <c r="Y153" s="39"/>
      <c r="Z153" s="39"/>
      <c r="AA153" s="39"/>
      <c r="AB153" s="39"/>
      <c r="AC153" s="39"/>
      <c r="AD153" s="39"/>
      <c r="AE153" s="39"/>
      <c r="AF153" s="39"/>
      <c r="AG153" s="39"/>
      <c r="AH153" s="39"/>
    </row>
    <row r="154" spans="1:34" s="84" customFormat="1" x14ac:dyDescent="0.25">
      <c r="A154" s="39" t="s">
        <v>453</v>
      </c>
      <c r="B154" s="46" t="s">
        <v>271</v>
      </c>
      <c r="C154" s="39" t="s">
        <v>417</v>
      </c>
      <c r="D154" s="102">
        <v>622274162</v>
      </c>
      <c r="E154" s="102">
        <v>9191264786</v>
      </c>
      <c r="F154" s="39" t="s">
        <v>247</v>
      </c>
      <c r="G154" s="81">
        <f>34225+(364+182)</f>
        <v>34771</v>
      </c>
      <c r="H154" s="50" t="str">
        <f t="shared" si="6"/>
        <v>Mar</v>
      </c>
      <c r="I154" s="51">
        <f t="shared" ca="1" si="7"/>
        <v>21</v>
      </c>
      <c r="J154" s="52"/>
      <c r="K154" s="53">
        <v>26360</v>
      </c>
      <c r="L154" s="54">
        <v>4</v>
      </c>
      <c r="M154" s="59">
        <f t="shared" si="8"/>
        <v>26360</v>
      </c>
      <c r="N154" s="100"/>
      <c r="O154" s="45"/>
      <c r="P154" s="39"/>
      <c r="Q154" s="39"/>
      <c r="R154" s="39"/>
      <c r="S154" s="39"/>
      <c r="T154" s="39"/>
      <c r="U154" s="39"/>
      <c r="V154" s="39"/>
      <c r="W154" s="39"/>
      <c r="X154" s="39"/>
      <c r="Y154" s="39"/>
      <c r="Z154" s="39"/>
      <c r="AA154" s="39"/>
      <c r="AB154" s="39"/>
      <c r="AC154" s="39"/>
      <c r="AD154" s="39"/>
      <c r="AE154" s="39"/>
      <c r="AF154" s="39"/>
      <c r="AG154" s="39"/>
      <c r="AH154" s="39"/>
    </row>
    <row r="155" spans="1:34" s="84" customFormat="1" x14ac:dyDescent="0.25">
      <c r="A155" s="39" t="s">
        <v>582</v>
      </c>
      <c r="B155" s="46" t="s">
        <v>251</v>
      </c>
      <c r="C155" s="39" t="s">
        <v>465</v>
      </c>
      <c r="D155" s="102">
        <v>944793994</v>
      </c>
      <c r="E155" s="102">
        <v>2525725646</v>
      </c>
      <c r="F155" s="39" t="s">
        <v>256</v>
      </c>
      <c r="G155" s="81">
        <f>34239+(364+182)</f>
        <v>34785</v>
      </c>
      <c r="H155" s="50" t="str">
        <f t="shared" si="6"/>
        <v>Mar</v>
      </c>
      <c r="I155" s="51">
        <f t="shared" ca="1" si="7"/>
        <v>21</v>
      </c>
      <c r="J155" s="52" t="s">
        <v>257</v>
      </c>
      <c r="K155" s="53">
        <v>24300</v>
      </c>
      <c r="L155" s="54">
        <v>3</v>
      </c>
      <c r="M155" s="59">
        <f t="shared" si="8"/>
        <v>24300</v>
      </c>
      <c r="N155" s="100"/>
      <c r="O155" s="45"/>
      <c r="P155" s="39"/>
      <c r="Q155" s="39"/>
      <c r="R155" s="39"/>
      <c r="S155" s="39"/>
      <c r="T155" s="39"/>
      <c r="U155" s="39"/>
      <c r="V155" s="39"/>
      <c r="W155" s="39"/>
      <c r="X155" s="39"/>
      <c r="Y155" s="39"/>
      <c r="Z155" s="39"/>
      <c r="AA155" s="39"/>
      <c r="AB155" s="39"/>
      <c r="AC155" s="39"/>
      <c r="AD155" s="39"/>
      <c r="AE155" s="39"/>
      <c r="AF155" s="39"/>
      <c r="AG155" s="39"/>
      <c r="AH155" s="39"/>
    </row>
    <row r="156" spans="1:34" s="84" customFormat="1" x14ac:dyDescent="0.25">
      <c r="A156" s="39" t="s">
        <v>740</v>
      </c>
      <c r="B156" s="46" t="s">
        <v>280</v>
      </c>
      <c r="C156" s="39" t="s">
        <v>705</v>
      </c>
      <c r="D156" s="102">
        <v>577239513</v>
      </c>
      <c r="E156" s="102">
        <v>9193199265</v>
      </c>
      <c r="F156" s="39" t="s">
        <v>256</v>
      </c>
      <c r="G156" s="81">
        <f>34587+(364+182)</f>
        <v>35133</v>
      </c>
      <c r="H156" s="50" t="str">
        <f t="shared" si="6"/>
        <v>Mar</v>
      </c>
      <c r="I156" s="51">
        <f t="shared" ca="1" si="7"/>
        <v>20</v>
      </c>
      <c r="J156" s="52" t="s">
        <v>283</v>
      </c>
      <c r="K156" s="53">
        <v>63080</v>
      </c>
      <c r="L156" s="54">
        <v>5</v>
      </c>
      <c r="M156" s="59">
        <f t="shared" si="8"/>
        <v>63080</v>
      </c>
      <c r="N156" s="100"/>
      <c r="O156" s="45"/>
      <c r="P156" s="39"/>
      <c r="Q156" s="39"/>
      <c r="R156" s="39"/>
      <c r="S156" s="39"/>
      <c r="T156" s="39"/>
      <c r="U156" s="39"/>
      <c r="V156" s="39"/>
      <c r="W156" s="39"/>
      <c r="X156" s="39"/>
      <c r="Y156" s="39"/>
      <c r="Z156" s="39"/>
      <c r="AA156" s="39"/>
      <c r="AB156" s="39"/>
      <c r="AC156" s="39"/>
      <c r="AD156" s="39"/>
      <c r="AE156" s="39"/>
      <c r="AF156" s="39"/>
      <c r="AG156" s="39"/>
      <c r="AH156" s="39"/>
    </row>
    <row r="157" spans="1:34" s="84" customFormat="1" x14ac:dyDescent="0.25">
      <c r="A157" s="39" t="s">
        <v>1000</v>
      </c>
      <c r="B157" s="46" t="s">
        <v>285</v>
      </c>
      <c r="C157" s="39" t="s">
        <v>930</v>
      </c>
      <c r="D157" s="102">
        <v>483483618</v>
      </c>
      <c r="E157" s="102">
        <v>2526459263</v>
      </c>
      <c r="F157" s="39" t="s">
        <v>256</v>
      </c>
      <c r="G157" s="81">
        <f>34591+(364+182)</f>
        <v>35137</v>
      </c>
      <c r="H157" s="50" t="str">
        <f t="shared" si="6"/>
        <v>Mar</v>
      </c>
      <c r="I157" s="51">
        <f t="shared" ca="1" si="7"/>
        <v>20</v>
      </c>
      <c r="J157" s="52" t="s">
        <v>283</v>
      </c>
      <c r="K157" s="53">
        <v>33590</v>
      </c>
      <c r="L157" s="54">
        <v>5</v>
      </c>
      <c r="M157" s="59">
        <f t="shared" si="8"/>
        <v>33590</v>
      </c>
      <c r="N157" s="100"/>
      <c r="O157" s="45"/>
      <c r="P157" s="39"/>
      <c r="Q157" s="39"/>
      <c r="R157" s="39"/>
      <c r="S157" s="39"/>
      <c r="T157" s="39"/>
      <c r="U157" s="39"/>
      <c r="V157" s="39"/>
      <c r="W157" s="39"/>
      <c r="X157" s="39"/>
      <c r="Y157" s="39"/>
      <c r="Z157" s="39"/>
      <c r="AA157" s="39"/>
      <c r="AB157" s="39"/>
      <c r="AC157" s="39"/>
      <c r="AD157" s="39"/>
      <c r="AE157" s="39"/>
      <c r="AF157" s="39"/>
      <c r="AG157" s="39"/>
      <c r="AH157" s="39"/>
    </row>
    <row r="158" spans="1:34" s="84" customFormat="1" x14ac:dyDescent="0.25">
      <c r="A158" s="39" t="s">
        <v>786</v>
      </c>
      <c r="B158" s="46" t="s">
        <v>285</v>
      </c>
      <c r="C158" s="39" t="s">
        <v>767</v>
      </c>
      <c r="D158" s="102">
        <v>963000861</v>
      </c>
      <c r="E158" s="102">
        <v>2522792063</v>
      </c>
      <c r="F158" s="39" t="s">
        <v>247</v>
      </c>
      <c r="G158" s="81">
        <f>34600+(364+182)</f>
        <v>35146</v>
      </c>
      <c r="H158" s="50" t="str">
        <f t="shared" si="6"/>
        <v>Mar</v>
      </c>
      <c r="I158" s="51">
        <f t="shared" ca="1" si="7"/>
        <v>20</v>
      </c>
      <c r="J158" s="52"/>
      <c r="K158" s="53">
        <v>73190</v>
      </c>
      <c r="L158" s="54">
        <v>1</v>
      </c>
      <c r="M158" s="59">
        <f t="shared" si="8"/>
        <v>73190</v>
      </c>
      <c r="N158" s="100"/>
      <c r="O158" s="45"/>
      <c r="P158" s="39"/>
      <c r="Q158" s="39"/>
      <c r="R158" s="39"/>
      <c r="S158" s="39"/>
      <c r="T158" s="39"/>
      <c r="U158" s="39"/>
      <c r="V158" s="39"/>
      <c r="W158" s="39"/>
      <c r="X158" s="39"/>
      <c r="Y158" s="39"/>
      <c r="Z158" s="39"/>
      <c r="AA158" s="39"/>
      <c r="AB158" s="39"/>
      <c r="AC158" s="39"/>
      <c r="AD158" s="39"/>
      <c r="AE158" s="39"/>
      <c r="AF158" s="39"/>
      <c r="AG158" s="39"/>
      <c r="AH158" s="39"/>
    </row>
    <row r="159" spans="1:34" s="84" customFormat="1" x14ac:dyDescent="0.25">
      <c r="A159" s="39" t="s">
        <v>406</v>
      </c>
      <c r="B159" s="46" t="s">
        <v>245</v>
      </c>
      <c r="C159" s="39" t="s">
        <v>391</v>
      </c>
      <c r="D159" s="102">
        <v>681596577</v>
      </c>
      <c r="E159" s="102">
        <v>9192387348</v>
      </c>
      <c r="F159" s="39" t="s">
        <v>247</v>
      </c>
      <c r="G159" s="81">
        <f>34604+(364+182)</f>
        <v>35150</v>
      </c>
      <c r="H159" s="50" t="str">
        <f t="shared" si="6"/>
        <v>Mar</v>
      </c>
      <c r="I159" s="51">
        <f t="shared" ca="1" si="7"/>
        <v>20</v>
      </c>
      <c r="J159" s="52"/>
      <c r="K159" s="53">
        <v>35260</v>
      </c>
      <c r="L159" s="54">
        <v>2</v>
      </c>
      <c r="M159" s="59">
        <f t="shared" si="8"/>
        <v>35260</v>
      </c>
      <c r="N159" s="100"/>
      <c r="O159" s="45"/>
      <c r="P159" s="39"/>
      <c r="Q159" s="39"/>
      <c r="R159" s="39"/>
      <c r="S159" s="39"/>
      <c r="T159" s="39"/>
      <c r="U159" s="39"/>
      <c r="V159" s="39"/>
      <c r="W159" s="39"/>
      <c r="X159" s="39"/>
      <c r="Y159" s="39"/>
      <c r="Z159" s="39"/>
      <c r="AA159" s="39"/>
      <c r="AB159" s="39"/>
      <c r="AC159" s="39"/>
      <c r="AD159" s="39"/>
      <c r="AE159" s="39"/>
      <c r="AF159" s="39"/>
      <c r="AG159" s="39"/>
      <c r="AH159" s="39"/>
    </row>
    <row r="160" spans="1:34" s="84" customFormat="1" x14ac:dyDescent="0.25">
      <c r="A160" s="39" t="s">
        <v>680</v>
      </c>
      <c r="B160" s="46" t="s">
        <v>280</v>
      </c>
      <c r="C160" s="39" t="s">
        <v>678</v>
      </c>
      <c r="D160" s="102">
        <v>303641529</v>
      </c>
      <c r="E160" s="102">
        <v>9196753698</v>
      </c>
      <c r="F160" s="39" t="s">
        <v>261</v>
      </c>
      <c r="G160" s="81">
        <f>34604+(364+182)</f>
        <v>35150</v>
      </c>
      <c r="H160" s="50" t="str">
        <f t="shared" si="6"/>
        <v>Mar</v>
      </c>
      <c r="I160" s="51">
        <f t="shared" ca="1" si="7"/>
        <v>20</v>
      </c>
      <c r="J160" s="52" t="s">
        <v>257</v>
      </c>
      <c r="K160" s="53">
        <v>49405</v>
      </c>
      <c r="L160" s="54">
        <v>4</v>
      </c>
      <c r="M160" s="59">
        <f t="shared" si="8"/>
        <v>49405</v>
      </c>
      <c r="N160" s="100"/>
      <c r="O160" s="45"/>
      <c r="P160" s="39"/>
      <c r="Q160" s="39"/>
      <c r="R160" s="39"/>
      <c r="S160" s="39"/>
      <c r="T160" s="39"/>
      <c r="U160" s="39"/>
      <c r="V160" s="39"/>
      <c r="W160" s="39"/>
      <c r="X160" s="39"/>
      <c r="Y160" s="39"/>
      <c r="Z160" s="39"/>
      <c r="AA160" s="39"/>
      <c r="AB160" s="39"/>
      <c r="AC160" s="39"/>
      <c r="AD160" s="39"/>
      <c r="AE160" s="39"/>
      <c r="AF160" s="39"/>
      <c r="AG160" s="39"/>
      <c r="AH160" s="39"/>
    </row>
    <row r="161" spans="1:34" s="84" customFormat="1" x14ac:dyDescent="0.25">
      <c r="A161" s="39" t="s">
        <v>773</v>
      </c>
      <c r="B161" s="46" t="s">
        <v>245</v>
      </c>
      <c r="C161" s="39" t="s">
        <v>767</v>
      </c>
      <c r="D161" s="102">
        <v>991221095</v>
      </c>
      <c r="E161" s="102">
        <v>9194630903</v>
      </c>
      <c r="F161" s="39" t="s">
        <v>256</v>
      </c>
      <c r="G161" s="81">
        <f>34605+(364+182)</f>
        <v>35151</v>
      </c>
      <c r="H161" s="50" t="str">
        <f t="shared" si="6"/>
        <v>Mar</v>
      </c>
      <c r="I161" s="51">
        <f t="shared" ca="1" si="7"/>
        <v>20</v>
      </c>
      <c r="J161" s="52" t="s">
        <v>276</v>
      </c>
      <c r="K161" s="53">
        <v>29760</v>
      </c>
      <c r="L161" s="54">
        <v>2</v>
      </c>
      <c r="M161" s="59">
        <f t="shared" si="8"/>
        <v>29760</v>
      </c>
      <c r="N161" s="100"/>
      <c r="O161" s="45"/>
      <c r="P161" s="39"/>
      <c r="Q161" s="39"/>
      <c r="R161" s="39"/>
      <c r="S161" s="39"/>
      <c r="T161" s="39"/>
      <c r="U161" s="39"/>
      <c r="V161" s="39"/>
      <c r="W161" s="39"/>
      <c r="X161" s="39"/>
      <c r="Y161" s="39"/>
      <c r="Z161" s="39"/>
      <c r="AA161" s="39"/>
      <c r="AB161" s="39"/>
      <c r="AC161" s="39"/>
      <c r="AD161" s="39"/>
      <c r="AE161" s="39"/>
      <c r="AF161" s="39"/>
      <c r="AG161" s="39"/>
      <c r="AH161" s="39"/>
    </row>
    <row r="162" spans="1:34" s="84" customFormat="1" x14ac:dyDescent="0.25">
      <c r="A162" s="39" t="s">
        <v>595</v>
      </c>
      <c r="B162" s="46" t="s">
        <v>245</v>
      </c>
      <c r="C162" s="39" t="s">
        <v>465</v>
      </c>
      <c r="D162" s="102">
        <v>313128501</v>
      </c>
      <c r="E162" s="102">
        <v>9193184277</v>
      </c>
      <c r="F162" s="39" t="s">
        <v>252</v>
      </c>
      <c r="G162" s="81">
        <f>34944+(364+182)</f>
        <v>35490</v>
      </c>
      <c r="H162" s="50" t="str">
        <f t="shared" si="6"/>
        <v>Mar</v>
      </c>
      <c r="I162" s="51">
        <f t="shared" ca="1" si="7"/>
        <v>19</v>
      </c>
      <c r="J162" s="52"/>
      <c r="K162" s="53">
        <v>22472</v>
      </c>
      <c r="L162" s="54">
        <v>1</v>
      </c>
      <c r="M162" s="59">
        <f t="shared" si="8"/>
        <v>22472</v>
      </c>
      <c r="N162" s="100"/>
      <c r="O162" s="45"/>
      <c r="P162" s="39"/>
      <c r="Q162" s="39"/>
      <c r="R162" s="39"/>
      <c r="S162" s="39"/>
      <c r="T162" s="39"/>
      <c r="U162" s="39"/>
      <c r="V162" s="39"/>
      <c r="W162" s="39"/>
      <c r="X162" s="39"/>
      <c r="Y162" s="39"/>
      <c r="Z162" s="39"/>
      <c r="AA162" s="39"/>
      <c r="AB162" s="39"/>
      <c r="AC162" s="39"/>
      <c r="AD162" s="39"/>
      <c r="AE162" s="39"/>
      <c r="AF162" s="39"/>
      <c r="AG162" s="39"/>
      <c r="AH162" s="39"/>
    </row>
    <row r="163" spans="1:34" s="84" customFormat="1" x14ac:dyDescent="0.25">
      <c r="A163" s="39" t="s">
        <v>865</v>
      </c>
      <c r="B163" s="46" t="s">
        <v>285</v>
      </c>
      <c r="C163" s="39" t="s">
        <v>856</v>
      </c>
      <c r="D163" s="102">
        <v>110726520</v>
      </c>
      <c r="E163" s="102">
        <v>9197963782</v>
      </c>
      <c r="F163" s="39" t="s">
        <v>256</v>
      </c>
      <c r="G163" s="81">
        <f>34951+(364+182)</f>
        <v>35497</v>
      </c>
      <c r="H163" s="50" t="str">
        <f t="shared" si="6"/>
        <v>Mar</v>
      </c>
      <c r="I163" s="51">
        <f t="shared" ca="1" si="7"/>
        <v>19</v>
      </c>
      <c r="J163" s="52" t="s">
        <v>257</v>
      </c>
      <c r="K163" s="53">
        <v>78710</v>
      </c>
      <c r="L163" s="54">
        <v>4</v>
      </c>
      <c r="M163" s="59">
        <f t="shared" si="8"/>
        <v>78710</v>
      </c>
      <c r="N163" s="100"/>
      <c r="O163" s="45"/>
      <c r="P163" s="39"/>
      <c r="Q163" s="39"/>
      <c r="R163" s="39"/>
      <c r="S163" s="39"/>
      <c r="T163" s="39"/>
      <c r="U163" s="39"/>
      <c r="V163" s="39"/>
      <c r="W163" s="39"/>
      <c r="X163" s="39"/>
      <c r="Y163" s="39"/>
      <c r="Z163" s="39"/>
      <c r="AA163" s="39"/>
      <c r="AB163" s="39"/>
      <c r="AC163" s="39"/>
      <c r="AD163" s="39"/>
      <c r="AE163" s="39"/>
      <c r="AF163" s="39"/>
      <c r="AG163" s="39"/>
      <c r="AH163" s="39"/>
    </row>
    <row r="164" spans="1:34" s="84" customFormat="1" x14ac:dyDescent="0.25">
      <c r="A164" s="39" t="s">
        <v>447</v>
      </c>
      <c r="B164" s="46" t="s">
        <v>285</v>
      </c>
      <c r="C164" s="39" t="s">
        <v>417</v>
      </c>
      <c r="D164" s="102">
        <v>659766304</v>
      </c>
      <c r="E164" s="102">
        <v>9195876028</v>
      </c>
      <c r="F164" s="39" t="s">
        <v>256</v>
      </c>
      <c r="G164" s="81">
        <f>34955+(364+182)</f>
        <v>35501</v>
      </c>
      <c r="H164" s="50" t="str">
        <f t="shared" si="6"/>
        <v>Mar</v>
      </c>
      <c r="I164" s="51">
        <f t="shared" ca="1" si="7"/>
        <v>19</v>
      </c>
      <c r="J164" s="52" t="s">
        <v>283</v>
      </c>
      <c r="K164" s="53">
        <v>37750</v>
      </c>
      <c r="L164" s="54">
        <v>5</v>
      </c>
      <c r="M164" s="59">
        <f t="shared" si="8"/>
        <v>37750</v>
      </c>
      <c r="N164" s="100"/>
      <c r="O164" s="45"/>
      <c r="P164" s="39"/>
      <c r="Q164" s="39"/>
      <c r="R164" s="39"/>
      <c r="S164" s="39"/>
      <c r="T164" s="39"/>
      <c r="U164" s="39"/>
      <c r="V164" s="39"/>
      <c r="W164" s="39"/>
      <c r="X164" s="39"/>
      <c r="Y164" s="39"/>
      <c r="Z164" s="39"/>
      <c r="AA164" s="39"/>
      <c r="AB164" s="39"/>
      <c r="AC164" s="39"/>
      <c r="AD164" s="39"/>
      <c r="AE164" s="39"/>
      <c r="AF164" s="39"/>
      <c r="AG164" s="39"/>
      <c r="AH164" s="39"/>
    </row>
    <row r="165" spans="1:34" s="84" customFormat="1" x14ac:dyDescent="0.25">
      <c r="A165" s="39" t="s">
        <v>353</v>
      </c>
      <c r="B165" s="46" t="s">
        <v>271</v>
      </c>
      <c r="C165" s="39" t="s">
        <v>312</v>
      </c>
      <c r="D165" s="102">
        <v>627678686</v>
      </c>
      <c r="E165" s="102">
        <v>2526101454</v>
      </c>
      <c r="F165" s="39" t="s">
        <v>247</v>
      </c>
      <c r="G165" s="81">
        <f>34959+(364+182)</f>
        <v>35505</v>
      </c>
      <c r="H165" s="50" t="str">
        <f t="shared" si="6"/>
        <v>Mar</v>
      </c>
      <c r="I165" s="51">
        <f t="shared" ca="1" si="7"/>
        <v>19</v>
      </c>
      <c r="J165" s="52"/>
      <c r="K165" s="53">
        <v>74740</v>
      </c>
      <c r="L165" s="54">
        <v>5</v>
      </c>
      <c r="M165" s="59">
        <f t="shared" si="8"/>
        <v>74740</v>
      </c>
      <c r="N165" s="100"/>
      <c r="O165" s="45"/>
      <c r="P165" s="39"/>
      <c r="Q165" s="39"/>
      <c r="R165" s="39"/>
      <c r="S165" s="39"/>
      <c r="T165" s="39"/>
      <c r="U165" s="39"/>
      <c r="V165" s="39"/>
      <c r="W165" s="39"/>
      <c r="X165" s="39"/>
      <c r="Y165" s="39"/>
      <c r="Z165" s="39"/>
      <c r="AA165" s="39"/>
      <c r="AB165" s="39"/>
      <c r="AC165" s="39"/>
      <c r="AD165" s="39"/>
      <c r="AE165" s="39"/>
      <c r="AF165" s="39"/>
      <c r="AG165" s="39"/>
      <c r="AH165" s="39"/>
    </row>
    <row r="166" spans="1:34" s="84" customFormat="1" x14ac:dyDescent="0.25">
      <c r="A166" s="39" t="s">
        <v>477</v>
      </c>
      <c r="B166" s="46" t="s">
        <v>245</v>
      </c>
      <c r="C166" s="39" t="s">
        <v>465</v>
      </c>
      <c r="D166" s="102">
        <v>612295735</v>
      </c>
      <c r="E166" s="102">
        <v>9195228292</v>
      </c>
      <c r="F166" s="39" t="s">
        <v>256</v>
      </c>
      <c r="G166" s="81">
        <f>34965+(364+182)</f>
        <v>35511</v>
      </c>
      <c r="H166" s="50" t="str">
        <f t="shared" si="6"/>
        <v>Mar</v>
      </c>
      <c r="I166" s="51">
        <f t="shared" ca="1" si="7"/>
        <v>19</v>
      </c>
      <c r="J166" s="52" t="s">
        <v>283</v>
      </c>
      <c r="K166" s="53">
        <v>73144</v>
      </c>
      <c r="L166" s="54">
        <v>5</v>
      </c>
      <c r="M166" s="59">
        <f t="shared" si="8"/>
        <v>73144</v>
      </c>
      <c r="N166" s="100"/>
      <c r="O166" s="45"/>
      <c r="P166" s="39"/>
      <c r="Q166" s="39"/>
      <c r="R166" s="39"/>
      <c r="S166" s="39"/>
      <c r="T166" s="39"/>
      <c r="U166" s="39"/>
      <c r="V166" s="39"/>
      <c r="W166" s="39"/>
      <c r="X166" s="39"/>
      <c r="Y166" s="39"/>
      <c r="Z166" s="39"/>
      <c r="AA166" s="39"/>
      <c r="AB166" s="39"/>
      <c r="AC166" s="39"/>
      <c r="AD166" s="39"/>
      <c r="AE166" s="39"/>
      <c r="AF166" s="39"/>
      <c r="AG166" s="39"/>
      <c r="AH166" s="39"/>
    </row>
    <row r="167" spans="1:34" s="84" customFormat="1" x14ac:dyDescent="0.25">
      <c r="A167" s="39" t="s">
        <v>386</v>
      </c>
      <c r="B167" s="46" t="s">
        <v>266</v>
      </c>
      <c r="C167" s="39" t="s">
        <v>381</v>
      </c>
      <c r="D167" s="102">
        <v>452692136</v>
      </c>
      <c r="E167" s="102">
        <v>2524106437</v>
      </c>
      <c r="F167" s="39" t="s">
        <v>256</v>
      </c>
      <c r="G167" s="81">
        <f>34968+(364+182)</f>
        <v>35514</v>
      </c>
      <c r="H167" s="50" t="str">
        <f t="shared" si="6"/>
        <v>Mar</v>
      </c>
      <c r="I167" s="51">
        <f t="shared" ca="1" si="7"/>
        <v>19</v>
      </c>
      <c r="J167" s="52" t="s">
        <v>267</v>
      </c>
      <c r="K167" s="53">
        <v>26510</v>
      </c>
      <c r="L167" s="54">
        <v>1</v>
      </c>
      <c r="M167" s="59">
        <f t="shared" si="8"/>
        <v>26510</v>
      </c>
      <c r="N167" s="100"/>
      <c r="O167" s="45"/>
      <c r="P167" s="39"/>
      <c r="Q167" s="39"/>
      <c r="R167" s="39"/>
      <c r="S167" s="39"/>
      <c r="T167" s="39"/>
      <c r="U167" s="39"/>
      <c r="V167" s="39"/>
      <c r="W167" s="39"/>
      <c r="X167" s="39"/>
      <c r="Y167" s="39"/>
      <c r="Z167" s="39"/>
      <c r="AA167" s="39"/>
      <c r="AB167" s="39"/>
      <c r="AC167" s="39"/>
      <c r="AD167" s="39"/>
      <c r="AE167" s="39"/>
      <c r="AF167" s="39"/>
      <c r="AG167" s="39"/>
      <c r="AH167" s="39"/>
    </row>
    <row r="168" spans="1:34" s="84" customFormat="1" x14ac:dyDescent="0.25">
      <c r="A168" s="39" t="s">
        <v>346</v>
      </c>
      <c r="B168" s="46" t="s">
        <v>245</v>
      </c>
      <c r="C168" s="39" t="s">
        <v>312</v>
      </c>
      <c r="D168" s="102">
        <v>936730279</v>
      </c>
      <c r="E168" s="102">
        <v>2528033253</v>
      </c>
      <c r="F168" s="39" t="s">
        <v>261</v>
      </c>
      <c r="G168" s="81">
        <f>34971+(364+182)</f>
        <v>35517</v>
      </c>
      <c r="H168" s="50" t="str">
        <f t="shared" si="6"/>
        <v>Mar</v>
      </c>
      <c r="I168" s="51">
        <f t="shared" ca="1" si="7"/>
        <v>19</v>
      </c>
      <c r="J168" s="52" t="s">
        <v>267</v>
      </c>
      <c r="K168" s="53">
        <v>48415</v>
      </c>
      <c r="L168" s="54">
        <v>4</v>
      </c>
      <c r="M168" s="59">
        <f t="shared" si="8"/>
        <v>48415</v>
      </c>
      <c r="N168" s="100"/>
      <c r="O168" s="45"/>
      <c r="P168" s="39"/>
      <c r="Q168" s="39"/>
      <c r="R168" s="39"/>
      <c r="S168" s="39"/>
      <c r="T168" s="39"/>
      <c r="U168" s="39"/>
      <c r="V168" s="39"/>
      <c r="W168" s="39"/>
      <c r="X168" s="39"/>
      <c r="Y168" s="39"/>
      <c r="Z168" s="39"/>
      <c r="AA168" s="39"/>
      <c r="AB168" s="39"/>
      <c r="AC168" s="39"/>
      <c r="AD168" s="39"/>
      <c r="AE168" s="39"/>
      <c r="AF168" s="39"/>
      <c r="AG168" s="39"/>
      <c r="AH168" s="39"/>
    </row>
    <row r="169" spans="1:34" s="84" customFormat="1" x14ac:dyDescent="0.25">
      <c r="A169" s="39" t="s">
        <v>671</v>
      </c>
      <c r="B169" s="46" t="s">
        <v>266</v>
      </c>
      <c r="C169" s="39" t="s">
        <v>626</v>
      </c>
      <c r="D169" s="102">
        <v>650784238</v>
      </c>
      <c r="E169" s="102">
        <v>9194679864</v>
      </c>
      <c r="F169" s="39" t="s">
        <v>247</v>
      </c>
      <c r="G169" s="81">
        <f>34972+(364+182)</f>
        <v>35518</v>
      </c>
      <c r="H169" s="50" t="str">
        <f t="shared" si="6"/>
        <v>Mar</v>
      </c>
      <c r="I169" s="51">
        <f t="shared" ca="1" si="7"/>
        <v>19</v>
      </c>
      <c r="J169" s="52"/>
      <c r="K169" s="53">
        <v>53870</v>
      </c>
      <c r="L169" s="54">
        <v>2</v>
      </c>
      <c r="M169" s="59">
        <f t="shared" si="8"/>
        <v>53870</v>
      </c>
      <c r="N169" s="100"/>
      <c r="O169" s="45"/>
      <c r="P169" s="39"/>
      <c r="Q169" s="39"/>
      <c r="R169" s="39"/>
      <c r="S169" s="39"/>
      <c r="T169" s="39"/>
      <c r="U169" s="39"/>
      <c r="V169" s="39"/>
      <c r="W169" s="39"/>
      <c r="X169" s="39"/>
      <c r="Y169" s="39"/>
      <c r="Z169" s="39"/>
      <c r="AA169" s="39"/>
      <c r="AB169" s="39"/>
      <c r="AC169" s="39"/>
      <c r="AD169" s="39"/>
      <c r="AE169" s="39"/>
      <c r="AF169" s="39"/>
      <c r="AG169" s="39"/>
      <c r="AH169" s="39"/>
    </row>
    <row r="170" spans="1:34" s="84" customFormat="1" x14ac:dyDescent="0.25">
      <c r="A170" s="39" t="s">
        <v>977</v>
      </c>
      <c r="B170" s="46" t="s">
        <v>245</v>
      </c>
      <c r="C170" s="39" t="s">
        <v>930</v>
      </c>
      <c r="D170" s="102">
        <v>262585858</v>
      </c>
      <c r="E170" s="102">
        <v>2528566597</v>
      </c>
      <c r="F170" s="39" t="s">
        <v>261</v>
      </c>
      <c r="G170" s="81">
        <f>34972+(364+182)</f>
        <v>35518</v>
      </c>
      <c r="H170" s="50" t="str">
        <f t="shared" si="6"/>
        <v>Mar</v>
      </c>
      <c r="I170" s="51">
        <f t="shared" ca="1" si="7"/>
        <v>19</v>
      </c>
      <c r="J170" s="52" t="s">
        <v>262</v>
      </c>
      <c r="K170" s="53">
        <v>13690</v>
      </c>
      <c r="L170" s="54">
        <v>5</v>
      </c>
      <c r="M170" s="59">
        <f t="shared" si="8"/>
        <v>13690</v>
      </c>
      <c r="N170" s="100"/>
      <c r="O170" s="45"/>
      <c r="P170" s="39"/>
      <c r="Q170" s="39"/>
      <c r="R170" s="39"/>
      <c r="S170" s="39"/>
      <c r="T170" s="39"/>
      <c r="U170" s="39"/>
      <c r="V170" s="39"/>
      <c r="W170" s="39"/>
      <c r="X170" s="39"/>
      <c r="Y170" s="39"/>
      <c r="Z170" s="39"/>
      <c r="AA170" s="39"/>
      <c r="AB170" s="39"/>
      <c r="AC170" s="39"/>
      <c r="AD170" s="39"/>
      <c r="AE170" s="39"/>
      <c r="AF170" s="39"/>
      <c r="AG170" s="39"/>
      <c r="AH170" s="39"/>
    </row>
    <row r="171" spans="1:34" s="84" customFormat="1" x14ac:dyDescent="0.25">
      <c r="A171" s="39" t="s">
        <v>464</v>
      </c>
      <c r="B171" s="46" t="s">
        <v>271</v>
      </c>
      <c r="C171" s="39" t="s">
        <v>465</v>
      </c>
      <c r="D171" s="102">
        <v>501523688</v>
      </c>
      <c r="E171" s="102">
        <v>2528560698</v>
      </c>
      <c r="F171" s="39" t="s">
        <v>256</v>
      </c>
      <c r="G171" s="81">
        <f>34974+(364+182)</f>
        <v>35520</v>
      </c>
      <c r="H171" s="50" t="str">
        <f t="shared" si="6"/>
        <v>Mar</v>
      </c>
      <c r="I171" s="51">
        <f t="shared" ca="1" si="7"/>
        <v>19</v>
      </c>
      <c r="J171" s="52" t="s">
        <v>257</v>
      </c>
      <c r="K171" s="53">
        <v>79730</v>
      </c>
      <c r="L171" s="54">
        <v>2</v>
      </c>
      <c r="M171" s="59">
        <f t="shared" si="8"/>
        <v>79730</v>
      </c>
      <c r="N171" s="100"/>
      <c r="O171" s="45"/>
      <c r="P171" s="39"/>
      <c r="Q171" s="39"/>
      <c r="R171" s="39"/>
      <c r="S171" s="39"/>
      <c r="T171" s="39"/>
      <c r="U171" s="39"/>
      <c r="V171" s="39"/>
      <c r="W171" s="39"/>
      <c r="X171" s="39"/>
      <c r="Y171" s="39"/>
      <c r="Z171" s="39"/>
      <c r="AA171" s="39"/>
      <c r="AB171" s="39"/>
      <c r="AC171" s="39"/>
      <c r="AD171" s="39"/>
      <c r="AE171" s="39"/>
      <c r="AF171" s="39"/>
      <c r="AG171" s="39"/>
      <c r="AH171" s="39"/>
    </row>
    <row r="172" spans="1:34" s="84" customFormat="1" x14ac:dyDescent="0.25">
      <c r="A172" s="39" t="s">
        <v>660</v>
      </c>
      <c r="B172" s="46" t="s">
        <v>245</v>
      </c>
      <c r="C172" s="39" t="s">
        <v>626</v>
      </c>
      <c r="D172" s="102">
        <v>261920277</v>
      </c>
      <c r="E172" s="102">
        <v>2524272773</v>
      </c>
      <c r="F172" s="39" t="s">
        <v>256</v>
      </c>
      <c r="G172" s="81">
        <f>35310+(364+182)</f>
        <v>35856</v>
      </c>
      <c r="H172" s="50" t="str">
        <f t="shared" si="6"/>
        <v>Mar</v>
      </c>
      <c r="I172" s="51">
        <f t="shared" ca="1" si="7"/>
        <v>18</v>
      </c>
      <c r="J172" s="52" t="s">
        <v>276</v>
      </c>
      <c r="K172" s="53">
        <v>86830</v>
      </c>
      <c r="L172" s="54">
        <v>3</v>
      </c>
      <c r="M172" s="59">
        <f t="shared" si="8"/>
        <v>86830</v>
      </c>
      <c r="N172" s="100"/>
      <c r="O172" s="45"/>
      <c r="P172" s="39"/>
      <c r="Q172" s="39"/>
      <c r="R172" s="39"/>
      <c r="S172" s="39"/>
      <c r="T172" s="39"/>
      <c r="U172" s="39"/>
      <c r="V172" s="39"/>
      <c r="W172" s="39"/>
      <c r="X172" s="39"/>
      <c r="Y172" s="39"/>
      <c r="Z172" s="39"/>
      <c r="AA172" s="39"/>
      <c r="AB172" s="39"/>
      <c r="AC172" s="39"/>
      <c r="AD172" s="39"/>
      <c r="AE172" s="39"/>
      <c r="AF172" s="39"/>
      <c r="AG172" s="39"/>
      <c r="AH172" s="39"/>
    </row>
    <row r="173" spans="1:34" s="84" customFormat="1" x14ac:dyDescent="0.25">
      <c r="A173" s="39" t="s">
        <v>635</v>
      </c>
      <c r="B173" s="46" t="s">
        <v>271</v>
      </c>
      <c r="C173" s="39" t="s">
        <v>626</v>
      </c>
      <c r="D173" s="102">
        <v>597641409</v>
      </c>
      <c r="E173" s="102">
        <v>9196201509</v>
      </c>
      <c r="F173" s="39" t="s">
        <v>256</v>
      </c>
      <c r="G173" s="81">
        <f>35311+(364+182)</f>
        <v>35857</v>
      </c>
      <c r="H173" s="50" t="str">
        <f t="shared" si="6"/>
        <v>Mar</v>
      </c>
      <c r="I173" s="51">
        <f t="shared" ca="1" si="7"/>
        <v>18</v>
      </c>
      <c r="J173" s="52" t="s">
        <v>283</v>
      </c>
      <c r="K173" s="53">
        <v>82110</v>
      </c>
      <c r="L173" s="54">
        <v>3</v>
      </c>
      <c r="M173" s="59">
        <f t="shared" si="8"/>
        <v>82110</v>
      </c>
      <c r="N173" s="100"/>
      <c r="O173" s="45"/>
      <c r="P173" s="39"/>
      <c r="Q173" s="39"/>
      <c r="R173" s="39"/>
      <c r="S173" s="39"/>
      <c r="T173" s="39"/>
      <c r="U173" s="39"/>
      <c r="V173" s="39"/>
      <c r="W173" s="39"/>
      <c r="X173" s="39"/>
      <c r="Y173" s="39"/>
      <c r="Z173" s="39"/>
      <c r="AA173" s="39"/>
      <c r="AB173" s="39"/>
      <c r="AC173" s="39"/>
      <c r="AD173" s="39"/>
      <c r="AE173" s="39"/>
      <c r="AF173" s="39"/>
      <c r="AG173" s="39"/>
      <c r="AH173" s="39"/>
    </row>
    <row r="174" spans="1:34" s="84" customFormat="1" x14ac:dyDescent="0.25">
      <c r="A174" s="39" t="s">
        <v>863</v>
      </c>
      <c r="B174" s="46" t="s">
        <v>271</v>
      </c>
      <c r="C174" s="39" t="s">
        <v>856</v>
      </c>
      <c r="D174" s="102">
        <v>843632637</v>
      </c>
      <c r="E174" s="102">
        <v>9198545681</v>
      </c>
      <c r="F174" s="39" t="s">
        <v>252</v>
      </c>
      <c r="G174" s="81">
        <f>35315+(364+182)</f>
        <v>35861</v>
      </c>
      <c r="H174" s="50" t="str">
        <f t="shared" si="6"/>
        <v>Mar</v>
      </c>
      <c r="I174" s="51">
        <f t="shared" ca="1" si="7"/>
        <v>18</v>
      </c>
      <c r="J174" s="52"/>
      <c r="K174" s="53">
        <v>12836</v>
      </c>
      <c r="L174" s="54">
        <v>5</v>
      </c>
      <c r="M174" s="59">
        <f t="shared" si="8"/>
        <v>12836</v>
      </c>
      <c r="N174" s="100"/>
      <c r="O174" s="45"/>
      <c r="P174" s="39"/>
      <c r="Q174" s="39"/>
      <c r="R174" s="39"/>
      <c r="S174" s="39"/>
      <c r="T174" s="39"/>
      <c r="U174" s="39"/>
      <c r="V174" s="39"/>
      <c r="W174" s="39"/>
      <c r="X174" s="39"/>
      <c r="Y174" s="39"/>
      <c r="Z174" s="39"/>
      <c r="AA174" s="39"/>
      <c r="AB174" s="39"/>
      <c r="AC174" s="39"/>
      <c r="AD174" s="39"/>
      <c r="AE174" s="39"/>
      <c r="AF174" s="39"/>
      <c r="AG174" s="39"/>
      <c r="AH174" s="39"/>
    </row>
    <row r="175" spans="1:34" s="84" customFormat="1" x14ac:dyDescent="0.25">
      <c r="A175" s="39" t="s">
        <v>921</v>
      </c>
      <c r="B175" s="46" t="s">
        <v>245</v>
      </c>
      <c r="C175" s="39" t="s">
        <v>856</v>
      </c>
      <c r="D175" s="102">
        <v>518009092</v>
      </c>
      <c r="E175" s="102">
        <v>2528792521</v>
      </c>
      <c r="F175" s="39" t="s">
        <v>252</v>
      </c>
      <c r="G175" s="81">
        <f>35323+(364+182)</f>
        <v>35869</v>
      </c>
      <c r="H175" s="50" t="str">
        <f t="shared" si="6"/>
        <v>Mar</v>
      </c>
      <c r="I175" s="51">
        <f t="shared" ca="1" si="7"/>
        <v>18</v>
      </c>
      <c r="J175" s="52"/>
      <c r="K175" s="53">
        <v>17912</v>
      </c>
      <c r="L175" s="54">
        <v>5</v>
      </c>
      <c r="M175" s="59">
        <f t="shared" si="8"/>
        <v>17912</v>
      </c>
      <c r="N175" s="100"/>
      <c r="O175" s="45"/>
      <c r="P175" s="39"/>
      <c r="Q175" s="39"/>
      <c r="R175" s="39"/>
      <c r="S175" s="39"/>
      <c r="T175" s="39"/>
      <c r="U175" s="39"/>
      <c r="V175" s="39"/>
      <c r="W175" s="39"/>
      <c r="X175" s="39"/>
      <c r="Y175" s="39"/>
      <c r="Z175" s="39"/>
      <c r="AA175" s="39"/>
      <c r="AB175" s="39"/>
      <c r="AC175" s="39"/>
      <c r="AD175" s="39"/>
      <c r="AE175" s="39"/>
      <c r="AF175" s="39"/>
      <c r="AG175" s="39"/>
      <c r="AH175" s="39"/>
    </row>
    <row r="176" spans="1:34" s="84" customFormat="1" x14ac:dyDescent="0.25">
      <c r="A176" s="39" t="s">
        <v>996</v>
      </c>
      <c r="B176" s="46" t="s">
        <v>280</v>
      </c>
      <c r="C176" s="39" t="s">
        <v>930</v>
      </c>
      <c r="D176" s="102">
        <v>311309049</v>
      </c>
      <c r="E176" s="102">
        <v>2527560634</v>
      </c>
      <c r="F176" s="39" t="s">
        <v>256</v>
      </c>
      <c r="G176" s="81">
        <f>35697+(364+182)</f>
        <v>36243</v>
      </c>
      <c r="H176" s="50" t="str">
        <f t="shared" si="6"/>
        <v>Mar</v>
      </c>
      <c r="I176" s="51">
        <f t="shared" ca="1" si="7"/>
        <v>17</v>
      </c>
      <c r="J176" s="52" t="s">
        <v>276</v>
      </c>
      <c r="K176" s="53">
        <v>77680</v>
      </c>
      <c r="L176" s="54">
        <v>3</v>
      </c>
      <c r="M176" s="59">
        <f t="shared" si="8"/>
        <v>77680</v>
      </c>
      <c r="N176" s="100"/>
      <c r="O176" s="45"/>
      <c r="P176" s="39"/>
      <c r="Q176" s="39"/>
      <c r="R176" s="39"/>
      <c r="S176" s="39"/>
      <c r="T176" s="39"/>
      <c r="U176" s="39"/>
      <c r="V176" s="39"/>
      <c r="W176" s="39"/>
      <c r="X176" s="39"/>
      <c r="Y176" s="39"/>
      <c r="Z176" s="39"/>
      <c r="AA176" s="39"/>
      <c r="AB176" s="39"/>
      <c r="AC176" s="39"/>
      <c r="AD176" s="39"/>
      <c r="AE176" s="39"/>
      <c r="AF176" s="39"/>
      <c r="AG176" s="39"/>
      <c r="AH176" s="39"/>
    </row>
    <row r="177" spans="1:34" s="84" customFormat="1" x14ac:dyDescent="0.25">
      <c r="A177" s="39" t="s">
        <v>917</v>
      </c>
      <c r="B177" s="46" t="s">
        <v>285</v>
      </c>
      <c r="C177" s="39" t="s">
        <v>856</v>
      </c>
      <c r="D177" s="102">
        <v>125540405</v>
      </c>
      <c r="E177" s="102">
        <v>2524589262</v>
      </c>
      <c r="F177" s="39" t="s">
        <v>256</v>
      </c>
      <c r="G177" s="81">
        <f>35699+(364+182)</f>
        <v>36245</v>
      </c>
      <c r="H177" s="50" t="str">
        <f t="shared" si="6"/>
        <v>Mar</v>
      </c>
      <c r="I177" s="51">
        <f t="shared" ca="1" si="7"/>
        <v>17</v>
      </c>
      <c r="J177" s="52" t="s">
        <v>257</v>
      </c>
      <c r="K177" s="53">
        <v>58410</v>
      </c>
      <c r="L177" s="54">
        <v>5</v>
      </c>
      <c r="M177" s="59">
        <f t="shared" si="8"/>
        <v>58410</v>
      </c>
      <c r="N177" s="100"/>
      <c r="O177" s="45"/>
      <c r="P177" s="39"/>
      <c r="Q177" s="39"/>
      <c r="R177" s="39"/>
      <c r="S177" s="39"/>
      <c r="T177" s="39"/>
      <c r="U177" s="39"/>
      <c r="V177" s="39"/>
      <c r="W177" s="39"/>
      <c r="X177" s="39"/>
      <c r="Y177" s="39"/>
      <c r="Z177" s="39"/>
      <c r="AA177" s="39"/>
      <c r="AB177" s="39"/>
      <c r="AC177" s="39"/>
      <c r="AD177" s="39"/>
      <c r="AE177" s="39"/>
      <c r="AF177" s="39"/>
      <c r="AG177" s="39"/>
      <c r="AH177" s="39"/>
    </row>
    <row r="178" spans="1:34" s="84" customFormat="1" x14ac:dyDescent="0.25">
      <c r="A178" s="39" t="s">
        <v>382</v>
      </c>
      <c r="B178" s="46" t="s">
        <v>271</v>
      </c>
      <c r="C178" s="39" t="s">
        <v>381</v>
      </c>
      <c r="D178" s="102">
        <v>925049144</v>
      </c>
      <c r="E178" s="102">
        <v>2524752921</v>
      </c>
      <c r="F178" s="39" t="s">
        <v>256</v>
      </c>
      <c r="G178" s="81">
        <f>35703+(364+182)</f>
        <v>36249</v>
      </c>
      <c r="H178" s="50" t="str">
        <f t="shared" si="6"/>
        <v>Mar</v>
      </c>
      <c r="I178" s="51">
        <f t="shared" ca="1" si="7"/>
        <v>17</v>
      </c>
      <c r="J178" s="52" t="s">
        <v>257</v>
      </c>
      <c r="K178" s="53">
        <v>49860</v>
      </c>
      <c r="L178" s="54">
        <v>2</v>
      </c>
      <c r="M178" s="59">
        <f t="shared" si="8"/>
        <v>49860</v>
      </c>
      <c r="N178" s="100"/>
      <c r="O178" s="45"/>
      <c r="P178" s="39"/>
      <c r="Q178" s="39"/>
      <c r="R178" s="39"/>
      <c r="S178" s="39"/>
      <c r="T178" s="39"/>
      <c r="U178" s="39"/>
      <c r="V178" s="39"/>
      <c r="W178" s="39"/>
      <c r="X178" s="39"/>
      <c r="Y178" s="39"/>
      <c r="Z178" s="39"/>
      <c r="AA178" s="39"/>
      <c r="AB178" s="39"/>
      <c r="AC178" s="39"/>
      <c r="AD178" s="39"/>
      <c r="AE178" s="39"/>
      <c r="AF178" s="39"/>
      <c r="AG178" s="39"/>
      <c r="AH178" s="39"/>
    </row>
    <row r="179" spans="1:34" s="84" customFormat="1" x14ac:dyDescent="0.25">
      <c r="A179" s="39" t="s">
        <v>494</v>
      </c>
      <c r="B179" s="46" t="s">
        <v>280</v>
      </c>
      <c r="C179" s="39" t="s">
        <v>465</v>
      </c>
      <c r="D179" s="102">
        <v>396727504</v>
      </c>
      <c r="E179" s="102">
        <v>9193204992</v>
      </c>
      <c r="F179" s="39" t="s">
        <v>247</v>
      </c>
      <c r="G179" s="81">
        <f>36054+(364+182)</f>
        <v>36600</v>
      </c>
      <c r="H179" s="50" t="str">
        <f t="shared" si="6"/>
        <v>Mar</v>
      </c>
      <c r="I179" s="51">
        <f t="shared" ca="1" si="7"/>
        <v>16</v>
      </c>
      <c r="J179" s="52"/>
      <c r="K179" s="53">
        <v>41840</v>
      </c>
      <c r="L179" s="54">
        <v>2</v>
      </c>
      <c r="M179" s="59">
        <f t="shared" si="8"/>
        <v>41840</v>
      </c>
      <c r="N179" s="100"/>
      <c r="O179" s="45"/>
      <c r="P179" s="39"/>
      <c r="Q179" s="39"/>
      <c r="R179" s="39"/>
      <c r="S179" s="39"/>
      <c r="T179" s="39"/>
      <c r="U179" s="39"/>
      <c r="V179" s="39"/>
      <c r="W179" s="39"/>
      <c r="X179" s="39"/>
      <c r="Y179" s="39"/>
      <c r="Z179" s="39"/>
      <c r="AA179" s="39"/>
      <c r="AB179" s="39"/>
      <c r="AC179" s="39"/>
      <c r="AD179" s="39"/>
      <c r="AE179" s="39"/>
      <c r="AF179" s="39"/>
      <c r="AG179" s="39"/>
      <c r="AH179" s="39"/>
    </row>
    <row r="180" spans="1:34" s="84" customFormat="1" x14ac:dyDescent="0.25">
      <c r="A180" s="39" t="s">
        <v>338</v>
      </c>
      <c r="B180" s="46" t="s">
        <v>285</v>
      </c>
      <c r="C180" s="39" t="s">
        <v>312</v>
      </c>
      <c r="D180" s="102">
        <v>856215418</v>
      </c>
      <c r="E180" s="102">
        <v>2526168483</v>
      </c>
      <c r="F180" s="39" t="s">
        <v>252</v>
      </c>
      <c r="G180" s="81">
        <f>36056+(364+182)</f>
        <v>36602</v>
      </c>
      <c r="H180" s="50" t="str">
        <f t="shared" si="6"/>
        <v>Mar</v>
      </c>
      <c r="I180" s="51">
        <f t="shared" ca="1" si="7"/>
        <v>16</v>
      </c>
      <c r="J180" s="52"/>
      <c r="K180" s="53">
        <v>30080</v>
      </c>
      <c r="L180" s="54">
        <v>3</v>
      </c>
      <c r="M180" s="59">
        <f t="shared" si="8"/>
        <v>30080</v>
      </c>
      <c r="N180" s="100"/>
      <c r="O180" s="45"/>
      <c r="P180" s="39"/>
      <c r="Q180" s="39"/>
      <c r="R180" s="39"/>
      <c r="S180" s="39"/>
      <c r="T180" s="39"/>
      <c r="U180" s="39"/>
      <c r="V180" s="39"/>
      <c r="W180" s="39"/>
      <c r="X180" s="39"/>
      <c r="Y180" s="39"/>
      <c r="Z180" s="39"/>
      <c r="AA180" s="39"/>
      <c r="AB180" s="39"/>
      <c r="AC180" s="39"/>
      <c r="AD180" s="39"/>
      <c r="AE180" s="39"/>
      <c r="AF180" s="39"/>
      <c r="AG180" s="39"/>
      <c r="AH180" s="39"/>
    </row>
    <row r="181" spans="1:34" s="84" customFormat="1" x14ac:dyDescent="0.25">
      <c r="A181" s="39" t="s">
        <v>476</v>
      </c>
      <c r="B181" s="46" t="s">
        <v>285</v>
      </c>
      <c r="C181" s="39" t="s">
        <v>465</v>
      </c>
      <c r="D181" s="102">
        <v>356242235</v>
      </c>
      <c r="E181" s="102">
        <v>2521667727</v>
      </c>
      <c r="F181" s="39" t="s">
        <v>261</v>
      </c>
      <c r="G181" s="81">
        <f>36058+(364+182)</f>
        <v>36604</v>
      </c>
      <c r="H181" s="50" t="str">
        <f t="shared" si="6"/>
        <v>Mar</v>
      </c>
      <c r="I181" s="51">
        <f t="shared" ca="1" si="7"/>
        <v>16</v>
      </c>
      <c r="J181" s="52" t="s">
        <v>283</v>
      </c>
      <c r="K181" s="53">
        <v>46710</v>
      </c>
      <c r="L181" s="54">
        <v>3</v>
      </c>
      <c r="M181" s="59">
        <f t="shared" si="8"/>
        <v>46710</v>
      </c>
      <c r="N181" s="100"/>
      <c r="O181" s="45"/>
      <c r="P181" s="39"/>
      <c r="Q181" s="39"/>
      <c r="R181" s="39"/>
      <c r="S181" s="39"/>
      <c r="T181" s="39"/>
      <c r="U181" s="39"/>
      <c r="V181" s="39"/>
      <c r="W181" s="39"/>
      <c r="X181" s="39"/>
      <c r="Y181" s="39"/>
      <c r="Z181" s="39"/>
      <c r="AA181" s="39"/>
      <c r="AB181" s="39"/>
      <c r="AC181" s="39"/>
      <c r="AD181" s="39"/>
      <c r="AE181" s="39"/>
      <c r="AF181" s="39"/>
      <c r="AG181" s="39"/>
      <c r="AH181" s="39"/>
    </row>
    <row r="182" spans="1:34" s="84" customFormat="1" x14ac:dyDescent="0.25">
      <c r="A182" s="39" t="s">
        <v>945</v>
      </c>
      <c r="B182" s="46" t="s">
        <v>285</v>
      </c>
      <c r="C182" s="39" t="s">
        <v>930</v>
      </c>
      <c r="D182" s="102">
        <v>800685434</v>
      </c>
      <c r="E182" s="102">
        <v>2525821616</v>
      </c>
      <c r="F182" s="39" t="s">
        <v>256</v>
      </c>
      <c r="G182" s="81">
        <f>36410+(364+182)</f>
        <v>36956</v>
      </c>
      <c r="H182" s="50" t="str">
        <f t="shared" si="6"/>
        <v>Mar</v>
      </c>
      <c r="I182" s="51">
        <f t="shared" ca="1" si="7"/>
        <v>15</v>
      </c>
      <c r="J182" s="52" t="s">
        <v>276</v>
      </c>
      <c r="K182" s="53">
        <v>49930</v>
      </c>
      <c r="L182" s="54">
        <v>1</v>
      </c>
      <c r="M182" s="59">
        <f t="shared" si="8"/>
        <v>49930</v>
      </c>
      <c r="N182" s="100"/>
      <c r="O182" s="45"/>
      <c r="P182" s="39"/>
      <c r="Q182" s="39"/>
      <c r="R182" s="39"/>
      <c r="S182" s="39"/>
      <c r="T182" s="39"/>
      <c r="U182" s="39"/>
      <c r="V182" s="39"/>
      <c r="W182" s="39"/>
      <c r="X182" s="39"/>
      <c r="Y182" s="39"/>
      <c r="Z182" s="39"/>
      <c r="AA182" s="39"/>
      <c r="AB182" s="39"/>
      <c r="AC182" s="39"/>
      <c r="AD182" s="39"/>
      <c r="AE182" s="39"/>
      <c r="AF182" s="39"/>
      <c r="AG182" s="39"/>
      <c r="AH182" s="39"/>
    </row>
    <row r="183" spans="1:34" s="84" customFormat="1" x14ac:dyDescent="0.25">
      <c r="A183" s="39" t="s">
        <v>958</v>
      </c>
      <c r="B183" s="46" t="s">
        <v>285</v>
      </c>
      <c r="C183" s="39" t="s">
        <v>930</v>
      </c>
      <c r="D183" s="102">
        <v>212558012</v>
      </c>
      <c r="E183" s="102">
        <v>2526860208</v>
      </c>
      <c r="F183" s="39" t="s">
        <v>256</v>
      </c>
      <c r="G183" s="81">
        <f>36421+(364+182)</f>
        <v>36967</v>
      </c>
      <c r="H183" s="50" t="str">
        <f t="shared" si="6"/>
        <v>Mar</v>
      </c>
      <c r="I183" s="51">
        <f t="shared" ca="1" si="7"/>
        <v>15</v>
      </c>
      <c r="J183" s="52" t="s">
        <v>257</v>
      </c>
      <c r="K183" s="53">
        <v>63060</v>
      </c>
      <c r="L183" s="54">
        <v>4</v>
      </c>
      <c r="M183" s="59">
        <f t="shared" si="8"/>
        <v>63060</v>
      </c>
      <c r="N183" s="100"/>
      <c r="O183" s="45"/>
      <c r="P183" s="39"/>
      <c r="Q183" s="39"/>
      <c r="R183" s="39"/>
      <c r="S183" s="39"/>
      <c r="T183" s="39"/>
      <c r="U183" s="39"/>
      <c r="V183" s="39"/>
      <c r="W183" s="39"/>
      <c r="X183" s="39"/>
      <c r="Y183" s="39"/>
      <c r="Z183" s="39"/>
      <c r="AA183" s="39"/>
      <c r="AB183" s="39"/>
      <c r="AC183" s="39"/>
      <c r="AD183" s="39"/>
      <c r="AE183" s="39"/>
      <c r="AF183" s="39"/>
      <c r="AG183" s="39"/>
      <c r="AH183" s="39"/>
    </row>
    <row r="184" spans="1:34" s="84" customFormat="1" x14ac:dyDescent="0.25">
      <c r="A184" s="39" t="s">
        <v>540</v>
      </c>
      <c r="B184" s="46" t="s">
        <v>285</v>
      </c>
      <c r="C184" s="39" t="s">
        <v>465</v>
      </c>
      <c r="D184" s="102">
        <v>635767088</v>
      </c>
      <c r="E184" s="102">
        <v>2522153322</v>
      </c>
      <c r="F184" s="39" t="s">
        <v>247</v>
      </c>
      <c r="G184" s="81">
        <f>36431+(364+182)</f>
        <v>36977</v>
      </c>
      <c r="H184" s="50" t="str">
        <f t="shared" si="6"/>
        <v>Mar</v>
      </c>
      <c r="I184" s="51">
        <f t="shared" ca="1" si="7"/>
        <v>15</v>
      </c>
      <c r="J184" s="52"/>
      <c r="K184" s="53">
        <v>68510</v>
      </c>
      <c r="L184" s="54">
        <v>5</v>
      </c>
      <c r="M184" s="59">
        <f t="shared" si="8"/>
        <v>68510</v>
      </c>
      <c r="N184" s="100"/>
      <c r="O184" s="45"/>
      <c r="P184" s="39"/>
      <c r="Q184" s="39"/>
      <c r="R184" s="39"/>
      <c r="S184" s="39"/>
      <c r="T184" s="39"/>
      <c r="U184" s="39"/>
      <c r="V184" s="39"/>
      <c r="W184" s="39"/>
      <c r="X184" s="39"/>
      <c r="Y184" s="39"/>
      <c r="Z184" s="39"/>
      <c r="AA184" s="39"/>
      <c r="AB184" s="39"/>
      <c r="AC184" s="39"/>
      <c r="AD184" s="39"/>
      <c r="AE184" s="39"/>
      <c r="AF184" s="39"/>
      <c r="AG184" s="39"/>
      <c r="AH184" s="39"/>
    </row>
    <row r="185" spans="1:34" s="84" customFormat="1" x14ac:dyDescent="0.25">
      <c r="A185" s="39" t="s">
        <v>590</v>
      </c>
      <c r="B185" s="46" t="s">
        <v>251</v>
      </c>
      <c r="C185" s="39" t="s">
        <v>465</v>
      </c>
      <c r="D185" s="102">
        <v>311883362</v>
      </c>
      <c r="E185" s="102">
        <v>2526505454</v>
      </c>
      <c r="F185" s="39" t="s">
        <v>247</v>
      </c>
      <c r="G185" s="81">
        <f>36780+(364+182)</f>
        <v>37326</v>
      </c>
      <c r="H185" s="50" t="str">
        <f t="shared" si="6"/>
        <v>Mar</v>
      </c>
      <c r="I185" s="51">
        <f t="shared" ca="1" si="7"/>
        <v>14</v>
      </c>
      <c r="J185" s="52"/>
      <c r="K185" s="53">
        <v>52770</v>
      </c>
      <c r="L185" s="54">
        <v>2</v>
      </c>
      <c r="M185" s="59">
        <f t="shared" si="8"/>
        <v>52770</v>
      </c>
      <c r="N185" s="100"/>
      <c r="O185" s="45"/>
      <c r="P185" s="39"/>
      <c r="Q185" s="39"/>
      <c r="R185" s="39"/>
      <c r="S185" s="39"/>
      <c r="T185" s="39"/>
      <c r="U185" s="39"/>
      <c r="V185" s="39"/>
      <c r="W185" s="39"/>
      <c r="X185" s="39"/>
      <c r="Y185" s="39"/>
      <c r="Z185" s="39"/>
      <c r="AA185" s="39"/>
      <c r="AB185" s="39"/>
      <c r="AC185" s="39"/>
      <c r="AD185" s="39"/>
      <c r="AE185" s="39"/>
      <c r="AF185" s="39"/>
      <c r="AG185" s="39"/>
      <c r="AH185" s="39"/>
    </row>
    <row r="186" spans="1:34" s="84" customFormat="1" x14ac:dyDescent="0.25">
      <c r="A186" s="39" t="s">
        <v>602</v>
      </c>
      <c r="B186" s="46" t="s">
        <v>271</v>
      </c>
      <c r="C186" s="39" t="s">
        <v>465</v>
      </c>
      <c r="D186" s="102">
        <v>213584397</v>
      </c>
      <c r="E186" s="102">
        <v>2524138160</v>
      </c>
      <c r="F186" s="39" t="s">
        <v>256</v>
      </c>
      <c r="G186" s="81">
        <f>36785+(364+182)</f>
        <v>37331</v>
      </c>
      <c r="H186" s="50" t="str">
        <f t="shared" si="6"/>
        <v>Mar</v>
      </c>
      <c r="I186" s="51">
        <f t="shared" ca="1" si="7"/>
        <v>14</v>
      </c>
      <c r="J186" s="52" t="s">
        <v>283</v>
      </c>
      <c r="K186" s="53">
        <v>62750</v>
      </c>
      <c r="L186" s="54">
        <v>3</v>
      </c>
      <c r="M186" s="59">
        <f t="shared" si="8"/>
        <v>62750</v>
      </c>
      <c r="N186" s="100"/>
      <c r="O186" s="45"/>
      <c r="P186" s="39"/>
      <c r="Q186" s="39"/>
      <c r="R186" s="39"/>
      <c r="S186" s="39"/>
      <c r="T186" s="39"/>
      <c r="U186" s="39"/>
      <c r="V186" s="39"/>
      <c r="W186" s="39"/>
      <c r="X186" s="39"/>
      <c r="Y186" s="39"/>
      <c r="Z186" s="39"/>
      <c r="AA186" s="39"/>
      <c r="AB186" s="39"/>
      <c r="AC186" s="39"/>
      <c r="AD186" s="39"/>
      <c r="AE186" s="39"/>
      <c r="AF186" s="39"/>
      <c r="AG186" s="39"/>
      <c r="AH186" s="39"/>
    </row>
    <row r="187" spans="1:34" s="84" customFormat="1" x14ac:dyDescent="0.25">
      <c r="A187" s="39" t="s">
        <v>1024</v>
      </c>
      <c r="B187" s="46" t="s">
        <v>266</v>
      </c>
      <c r="C187" s="39" t="s">
        <v>1025</v>
      </c>
      <c r="D187" s="102">
        <v>443926890</v>
      </c>
      <c r="E187" s="102">
        <v>2524411859</v>
      </c>
      <c r="F187" s="39" t="s">
        <v>256</v>
      </c>
      <c r="G187" s="81">
        <f>37138+(364+182)</f>
        <v>37684</v>
      </c>
      <c r="H187" s="50" t="str">
        <f t="shared" si="6"/>
        <v>Mar</v>
      </c>
      <c r="I187" s="51">
        <f t="shared" ca="1" si="7"/>
        <v>13</v>
      </c>
      <c r="J187" s="52" t="s">
        <v>283</v>
      </c>
      <c r="K187" s="53">
        <v>42800</v>
      </c>
      <c r="L187" s="54">
        <v>5</v>
      </c>
      <c r="M187" s="59">
        <f t="shared" si="8"/>
        <v>42800</v>
      </c>
      <c r="N187" s="100"/>
      <c r="O187" s="45"/>
      <c r="P187" s="39"/>
      <c r="Q187" s="39"/>
      <c r="R187" s="39"/>
      <c r="S187" s="39"/>
      <c r="T187" s="39"/>
      <c r="U187" s="39"/>
      <c r="V187" s="39"/>
      <c r="W187" s="39"/>
      <c r="X187" s="39"/>
      <c r="Y187" s="39"/>
      <c r="Z187" s="39"/>
      <c r="AA187" s="39"/>
      <c r="AB187" s="39"/>
      <c r="AC187" s="39"/>
      <c r="AD187" s="39"/>
      <c r="AE187" s="39"/>
      <c r="AF187" s="39"/>
      <c r="AG187" s="39"/>
      <c r="AH187" s="39"/>
    </row>
    <row r="188" spans="1:34" s="84" customFormat="1" x14ac:dyDescent="0.25">
      <c r="A188" s="39" t="s">
        <v>770</v>
      </c>
      <c r="B188" s="46" t="s">
        <v>285</v>
      </c>
      <c r="C188" s="39" t="s">
        <v>767</v>
      </c>
      <c r="D188" s="102">
        <v>945160038</v>
      </c>
      <c r="E188" s="102">
        <v>2527909707</v>
      </c>
      <c r="F188" s="39" t="s">
        <v>256</v>
      </c>
      <c r="G188" s="81">
        <f>37155+(364+182)</f>
        <v>37701</v>
      </c>
      <c r="H188" s="50" t="str">
        <f t="shared" si="6"/>
        <v>Mar</v>
      </c>
      <c r="I188" s="51">
        <f t="shared" ca="1" si="7"/>
        <v>13</v>
      </c>
      <c r="J188" s="52" t="s">
        <v>262</v>
      </c>
      <c r="K188" s="53">
        <v>23560</v>
      </c>
      <c r="L188" s="54">
        <v>3</v>
      </c>
      <c r="M188" s="59">
        <f t="shared" si="8"/>
        <v>23560</v>
      </c>
      <c r="N188" s="100"/>
      <c r="O188" s="45"/>
      <c r="P188" s="39"/>
      <c r="Q188" s="39"/>
      <c r="R188" s="39"/>
      <c r="S188" s="39"/>
      <c r="T188" s="39"/>
      <c r="U188" s="39"/>
      <c r="V188" s="39"/>
      <c r="W188" s="39"/>
      <c r="X188" s="39"/>
      <c r="Y188" s="39"/>
      <c r="Z188" s="39"/>
      <c r="AA188" s="39"/>
      <c r="AB188" s="39"/>
      <c r="AC188" s="39"/>
      <c r="AD188" s="39"/>
      <c r="AE188" s="39"/>
      <c r="AF188" s="39"/>
      <c r="AG188" s="39"/>
      <c r="AH188" s="39"/>
    </row>
    <row r="189" spans="1:34" s="84" customFormat="1" x14ac:dyDescent="0.25">
      <c r="A189" s="39" t="s">
        <v>708</v>
      </c>
      <c r="B189" s="46" t="s">
        <v>271</v>
      </c>
      <c r="C189" s="39" t="s">
        <v>705</v>
      </c>
      <c r="D189" s="102">
        <v>272714784</v>
      </c>
      <c r="E189" s="102">
        <v>9191162663</v>
      </c>
      <c r="F189" s="39" t="s">
        <v>252</v>
      </c>
      <c r="G189" s="81">
        <f>37165+(364+182)</f>
        <v>37711</v>
      </c>
      <c r="H189" s="50" t="str">
        <f t="shared" si="6"/>
        <v>Mar</v>
      </c>
      <c r="I189" s="51">
        <f t="shared" ca="1" si="7"/>
        <v>13</v>
      </c>
      <c r="J189" s="52"/>
      <c r="K189" s="53">
        <v>21648</v>
      </c>
      <c r="L189" s="54">
        <v>2</v>
      </c>
      <c r="M189" s="59">
        <f t="shared" si="8"/>
        <v>21648</v>
      </c>
      <c r="N189" s="100"/>
      <c r="O189" s="45"/>
      <c r="P189" s="39"/>
      <c r="Q189" s="39"/>
      <c r="R189" s="39"/>
      <c r="S189" s="39"/>
      <c r="T189" s="39"/>
      <c r="U189" s="39"/>
      <c r="V189" s="39"/>
      <c r="W189" s="39"/>
      <c r="X189" s="39"/>
      <c r="Y189" s="39"/>
      <c r="Z189" s="39"/>
      <c r="AA189" s="39"/>
      <c r="AB189" s="39"/>
      <c r="AC189" s="39"/>
      <c r="AD189" s="39"/>
      <c r="AE189" s="39"/>
      <c r="AF189" s="39"/>
      <c r="AG189" s="39"/>
      <c r="AH189" s="39"/>
    </row>
    <row r="190" spans="1:34" s="84" customFormat="1" x14ac:dyDescent="0.25">
      <c r="A190" s="39" t="s">
        <v>302</v>
      </c>
      <c r="B190" s="46" t="s">
        <v>251</v>
      </c>
      <c r="C190" s="39" t="s">
        <v>296</v>
      </c>
      <c r="D190" s="102">
        <v>764375259</v>
      </c>
      <c r="E190" s="102">
        <v>2527515181</v>
      </c>
      <c r="F190" s="39" t="s">
        <v>256</v>
      </c>
      <c r="G190" s="81">
        <f>37505+(364+182)</f>
        <v>38051</v>
      </c>
      <c r="H190" s="50" t="str">
        <f t="shared" si="6"/>
        <v>Mar</v>
      </c>
      <c r="I190" s="51">
        <f t="shared" ca="1" si="7"/>
        <v>12</v>
      </c>
      <c r="J190" s="52" t="s">
        <v>257</v>
      </c>
      <c r="K190" s="53">
        <v>30350</v>
      </c>
      <c r="L190" s="54">
        <v>1</v>
      </c>
      <c r="M190" s="59">
        <f t="shared" si="8"/>
        <v>30350</v>
      </c>
      <c r="N190" s="100"/>
      <c r="O190" s="45"/>
      <c r="P190" s="39"/>
      <c r="Q190" s="39"/>
      <c r="R190" s="39"/>
      <c r="S190" s="39"/>
      <c r="T190" s="39"/>
      <c r="U190" s="39"/>
      <c r="V190" s="39"/>
      <c r="W190" s="39"/>
      <c r="X190" s="39"/>
      <c r="Y190" s="39"/>
      <c r="Z190" s="39"/>
      <c r="AA190" s="39"/>
      <c r="AB190" s="39"/>
      <c r="AC190" s="39"/>
      <c r="AD190" s="39"/>
      <c r="AE190" s="39"/>
      <c r="AF190" s="39"/>
      <c r="AG190" s="39"/>
      <c r="AH190" s="39"/>
    </row>
    <row r="191" spans="1:34" s="84" customFormat="1" x14ac:dyDescent="0.25">
      <c r="A191" s="39" t="s">
        <v>587</v>
      </c>
      <c r="B191" s="46" t="s">
        <v>285</v>
      </c>
      <c r="C191" s="39" t="s">
        <v>465</v>
      </c>
      <c r="D191" s="102">
        <v>378281658</v>
      </c>
      <c r="E191" s="102">
        <v>9196705508</v>
      </c>
      <c r="F191" s="39" t="s">
        <v>247</v>
      </c>
      <c r="G191" s="81">
        <f>37527+(364+182)</f>
        <v>38073</v>
      </c>
      <c r="H191" s="50" t="str">
        <f t="shared" si="6"/>
        <v>Mar</v>
      </c>
      <c r="I191" s="51">
        <f t="shared" ca="1" si="7"/>
        <v>12</v>
      </c>
      <c r="J191" s="52"/>
      <c r="K191" s="53">
        <v>39300</v>
      </c>
      <c r="L191" s="54">
        <v>2</v>
      </c>
      <c r="M191" s="59">
        <f t="shared" si="8"/>
        <v>39300</v>
      </c>
      <c r="N191" s="100"/>
      <c r="O191" s="45"/>
      <c r="P191" s="39"/>
      <c r="Q191" s="39"/>
      <c r="R191" s="39"/>
      <c r="S191" s="39"/>
      <c r="T191" s="39"/>
      <c r="U191" s="39"/>
      <c r="V191" s="39"/>
      <c r="W191" s="39"/>
      <c r="X191" s="39"/>
      <c r="Y191" s="39"/>
      <c r="Z191" s="39"/>
      <c r="AA191" s="39"/>
      <c r="AB191" s="39"/>
      <c r="AC191" s="39"/>
      <c r="AD191" s="39"/>
      <c r="AE191" s="39"/>
      <c r="AF191" s="39"/>
      <c r="AG191" s="39"/>
      <c r="AH191" s="39"/>
    </row>
    <row r="192" spans="1:34" s="84" customFormat="1" x14ac:dyDescent="0.25">
      <c r="A192" s="39" t="s">
        <v>848</v>
      </c>
      <c r="B192" s="46" t="s">
        <v>266</v>
      </c>
      <c r="C192" s="39" t="s">
        <v>767</v>
      </c>
      <c r="D192" s="102">
        <v>546159785</v>
      </c>
      <c r="E192" s="102">
        <v>2522924678</v>
      </c>
      <c r="F192" s="39" t="s">
        <v>256</v>
      </c>
      <c r="G192" s="81">
        <f>37877+(364+182)</f>
        <v>38423</v>
      </c>
      <c r="H192" s="50" t="str">
        <f t="shared" si="6"/>
        <v>Mar</v>
      </c>
      <c r="I192" s="51">
        <f t="shared" ca="1" si="7"/>
        <v>11</v>
      </c>
      <c r="J192" s="52" t="s">
        <v>276</v>
      </c>
      <c r="K192" s="53">
        <v>61330</v>
      </c>
      <c r="L192" s="54">
        <v>2</v>
      </c>
      <c r="M192" s="59">
        <f t="shared" si="8"/>
        <v>61330</v>
      </c>
      <c r="N192" s="100"/>
      <c r="O192" s="45"/>
      <c r="P192" s="39"/>
      <c r="Q192" s="39"/>
      <c r="R192" s="39"/>
      <c r="S192" s="39"/>
      <c r="T192" s="39"/>
      <c r="U192" s="39"/>
      <c r="V192" s="39"/>
      <c r="W192" s="39"/>
      <c r="X192" s="39"/>
      <c r="Y192" s="39"/>
      <c r="Z192" s="39"/>
      <c r="AA192" s="39"/>
      <c r="AB192" s="39"/>
      <c r="AC192" s="39"/>
      <c r="AD192" s="39"/>
      <c r="AE192" s="39"/>
      <c r="AF192" s="39"/>
      <c r="AG192" s="39"/>
      <c r="AH192" s="39"/>
    </row>
    <row r="193" spans="1:34" s="84" customFormat="1" x14ac:dyDescent="0.25">
      <c r="A193" s="39" t="s">
        <v>967</v>
      </c>
      <c r="B193" s="46" t="s">
        <v>280</v>
      </c>
      <c r="C193" s="39" t="s">
        <v>930</v>
      </c>
      <c r="D193" s="102">
        <v>723066626</v>
      </c>
      <c r="E193" s="102">
        <v>2525399385</v>
      </c>
      <c r="F193" s="39" t="s">
        <v>247</v>
      </c>
      <c r="G193" s="81">
        <f>37892+(364+182)</f>
        <v>38438</v>
      </c>
      <c r="H193" s="50" t="str">
        <f t="shared" si="6"/>
        <v>Mar</v>
      </c>
      <c r="I193" s="51">
        <f t="shared" ca="1" si="7"/>
        <v>11</v>
      </c>
      <c r="J193" s="52"/>
      <c r="K193" s="53">
        <v>32880</v>
      </c>
      <c r="L193" s="54">
        <v>3</v>
      </c>
      <c r="M193" s="59">
        <f t="shared" si="8"/>
        <v>32880</v>
      </c>
      <c r="N193" s="100"/>
      <c r="O193" s="45"/>
      <c r="P193" s="39"/>
      <c r="Q193" s="39"/>
      <c r="R193" s="39"/>
      <c r="S193" s="39"/>
      <c r="T193" s="39"/>
      <c r="U193" s="39"/>
      <c r="V193" s="39"/>
      <c r="W193" s="39"/>
      <c r="X193" s="39"/>
      <c r="Y193" s="39"/>
      <c r="Z193" s="39"/>
      <c r="AA193" s="39"/>
      <c r="AB193" s="39"/>
      <c r="AC193" s="39"/>
      <c r="AD193" s="39"/>
      <c r="AE193" s="39"/>
      <c r="AF193" s="39"/>
      <c r="AG193" s="39"/>
      <c r="AH193" s="39"/>
    </row>
    <row r="194" spans="1:34" s="84" customFormat="1" x14ac:dyDescent="0.25">
      <c r="A194" s="39" t="s">
        <v>800</v>
      </c>
      <c r="B194" s="46" t="s">
        <v>266</v>
      </c>
      <c r="C194" s="39" t="s">
        <v>767</v>
      </c>
      <c r="D194" s="102">
        <v>920265140</v>
      </c>
      <c r="E194" s="102">
        <v>2524078104</v>
      </c>
      <c r="F194" s="39" t="s">
        <v>256</v>
      </c>
      <c r="G194" s="81">
        <f>38244+(364+182)</f>
        <v>38790</v>
      </c>
      <c r="H194" s="50" t="str">
        <f t="shared" si="6"/>
        <v>Mar</v>
      </c>
      <c r="I194" s="51">
        <f t="shared" ca="1" si="7"/>
        <v>10</v>
      </c>
      <c r="J194" s="52" t="s">
        <v>262</v>
      </c>
      <c r="K194" s="53">
        <v>62688</v>
      </c>
      <c r="L194" s="54">
        <v>3</v>
      </c>
      <c r="M194" s="59">
        <f t="shared" si="8"/>
        <v>62688</v>
      </c>
      <c r="N194" s="100"/>
      <c r="O194" s="45"/>
      <c r="P194" s="39"/>
      <c r="Q194" s="39"/>
      <c r="R194" s="39"/>
      <c r="S194" s="39"/>
      <c r="T194" s="39"/>
      <c r="U194" s="39"/>
      <c r="V194" s="39"/>
      <c r="W194" s="39"/>
      <c r="X194" s="39"/>
      <c r="Y194" s="39"/>
      <c r="Z194" s="39"/>
      <c r="AA194" s="39"/>
      <c r="AB194" s="39"/>
      <c r="AC194" s="39"/>
      <c r="AD194" s="39"/>
      <c r="AE194" s="39"/>
      <c r="AF194" s="39"/>
      <c r="AG194" s="39"/>
      <c r="AH194" s="39"/>
    </row>
    <row r="195" spans="1:34" s="84" customFormat="1" x14ac:dyDescent="0.25">
      <c r="A195" s="39" t="s">
        <v>870</v>
      </c>
      <c r="B195" s="46" t="s">
        <v>285</v>
      </c>
      <c r="C195" s="39" t="s">
        <v>856</v>
      </c>
      <c r="D195" s="102">
        <v>983047016</v>
      </c>
      <c r="E195" s="102">
        <v>9198451642</v>
      </c>
      <c r="F195" s="39" t="s">
        <v>247</v>
      </c>
      <c r="G195" s="81">
        <f>38247+(364+182)</f>
        <v>38793</v>
      </c>
      <c r="H195" s="50" t="str">
        <f t="shared" ref="H195:H258" si="9">CHOOSE(MONTH(G195),"Jan","Feb","Mar","Apr","May","Jun","Jul","Aug","Sep","Oct","Nov","Dec")</f>
        <v>Mar</v>
      </c>
      <c r="I195" s="51">
        <f t="shared" ref="I195:I258" ca="1" si="10">DATEDIF(G195,TODAY(),"Y")</f>
        <v>10</v>
      </c>
      <c r="J195" s="52"/>
      <c r="K195" s="53">
        <v>85930</v>
      </c>
      <c r="L195" s="54">
        <v>2</v>
      </c>
      <c r="M195" s="59">
        <f t="shared" ref="M195:M258" si="11">ROUND(K195*P193+K195,0)</f>
        <v>85930</v>
      </c>
      <c r="N195" s="100"/>
      <c r="O195" s="45"/>
      <c r="P195" s="39"/>
      <c r="Q195" s="39"/>
      <c r="R195" s="39"/>
      <c r="S195" s="39"/>
      <c r="T195" s="39"/>
      <c r="U195" s="39"/>
      <c r="V195" s="39"/>
      <c r="W195" s="39"/>
      <c r="X195" s="39"/>
      <c r="Y195" s="39"/>
      <c r="Z195" s="39"/>
      <c r="AA195" s="39"/>
      <c r="AB195" s="39"/>
      <c r="AC195" s="39"/>
      <c r="AD195" s="39"/>
      <c r="AE195" s="39"/>
      <c r="AF195" s="39"/>
      <c r="AG195" s="39"/>
      <c r="AH195" s="39"/>
    </row>
    <row r="196" spans="1:34" s="84" customFormat="1" x14ac:dyDescent="0.25">
      <c r="A196" s="39" t="s">
        <v>717</v>
      </c>
      <c r="B196" s="46" t="s">
        <v>285</v>
      </c>
      <c r="C196" s="39" t="s">
        <v>705</v>
      </c>
      <c r="D196" s="102">
        <v>365499498</v>
      </c>
      <c r="E196" s="102">
        <v>2523575849</v>
      </c>
      <c r="F196" s="39" t="s">
        <v>256</v>
      </c>
      <c r="G196" s="81">
        <f>38261+(364+182)</f>
        <v>38807</v>
      </c>
      <c r="H196" s="50" t="str">
        <f t="shared" si="9"/>
        <v>Mar</v>
      </c>
      <c r="I196" s="51">
        <f t="shared" ca="1" si="10"/>
        <v>10</v>
      </c>
      <c r="J196" s="52" t="s">
        <v>257</v>
      </c>
      <c r="K196" s="53">
        <v>47060</v>
      </c>
      <c r="L196" s="54">
        <v>4</v>
      </c>
      <c r="M196" s="59">
        <f t="shared" si="11"/>
        <v>47060</v>
      </c>
      <c r="N196" s="100"/>
      <c r="O196" s="45"/>
      <c r="P196" s="39"/>
      <c r="Q196" s="39"/>
      <c r="R196" s="39"/>
      <c r="S196" s="39"/>
      <c r="T196" s="39"/>
      <c r="U196" s="39"/>
      <c r="V196" s="39"/>
      <c r="W196" s="39"/>
      <c r="X196" s="39"/>
      <c r="Y196" s="39"/>
      <c r="Z196" s="39"/>
      <c r="AA196" s="39"/>
      <c r="AB196" s="39"/>
      <c r="AC196" s="39"/>
      <c r="AD196" s="39"/>
      <c r="AE196" s="39"/>
      <c r="AF196" s="39"/>
      <c r="AG196" s="39"/>
      <c r="AH196" s="39"/>
    </row>
    <row r="197" spans="1:34" s="84" customFormat="1" x14ac:dyDescent="0.25">
      <c r="A197" s="45" t="s">
        <v>244</v>
      </c>
      <c r="B197" s="46" t="s">
        <v>245</v>
      </c>
      <c r="C197" s="45" t="s">
        <v>246</v>
      </c>
      <c r="D197" s="106">
        <v>948195711</v>
      </c>
      <c r="E197" s="106">
        <v>2523539786</v>
      </c>
      <c r="F197" s="45" t="s">
        <v>247</v>
      </c>
      <c r="G197" s="105">
        <f>38601+(364+182)</f>
        <v>39147</v>
      </c>
      <c r="H197" s="50" t="str">
        <f t="shared" si="9"/>
        <v>Mar</v>
      </c>
      <c r="I197" s="51">
        <f t="shared" ca="1" si="10"/>
        <v>9</v>
      </c>
      <c r="J197" s="52"/>
      <c r="K197" s="53">
        <v>42540</v>
      </c>
      <c r="L197" s="54">
        <v>5</v>
      </c>
      <c r="M197" s="59">
        <f t="shared" si="11"/>
        <v>42540</v>
      </c>
      <c r="N197" s="100"/>
      <c r="O197" s="45"/>
      <c r="P197" s="39"/>
      <c r="Q197" s="39"/>
      <c r="R197" s="39"/>
      <c r="S197" s="39"/>
      <c r="T197" s="39"/>
      <c r="U197" s="39"/>
      <c r="V197" s="39"/>
      <c r="W197" s="39"/>
      <c r="X197" s="39"/>
      <c r="Y197" s="39"/>
      <c r="Z197" s="39"/>
      <c r="AA197" s="39"/>
      <c r="AB197" s="39"/>
      <c r="AC197" s="39"/>
      <c r="AD197" s="39"/>
      <c r="AE197" s="39"/>
      <c r="AF197" s="39"/>
      <c r="AG197" s="39"/>
      <c r="AH197" s="39"/>
    </row>
    <row r="198" spans="1:34" s="84" customFormat="1" x14ac:dyDescent="0.25">
      <c r="A198" s="39" t="s">
        <v>387</v>
      </c>
      <c r="B198" s="46" t="s">
        <v>285</v>
      </c>
      <c r="C198" s="39" t="s">
        <v>381</v>
      </c>
      <c r="D198" s="102">
        <v>510190628</v>
      </c>
      <c r="E198" s="102">
        <v>2527405629</v>
      </c>
      <c r="F198" s="39" t="s">
        <v>256</v>
      </c>
      <c r="G198" s="81">
        <f>38601+(364+182)</f>
        <v>39147</v>
      </c>
      <c r="H198" s="50" t="str">
        <f t="shared" si="9"/>
        <v>Mar</v>
      </c>
      <c r="I198" s="51">
        <f t="shared" ca="1" si="10"/>
        <v>9</v>
      </c>
      <c r="J198" s="52" t="s">
        <v>283</v>
      </c>
      <c r="K198" s="53">
        <v>43680</v>
      </c>
      <c r="L198" s="54">
        <v>5</v>
      </c>
      <c r="M198" s="59">
        <f t="shared" si="11"/>
        <v>43680</v>
      </c>
      <c r="N198" s="100"/>
      <c r="O198" s="45"/>
      <c r="P198" s="39"/>
      <c r="Q198" s="39"/>
      <c r="R198" s="39"/>
      <c r="S198" s="39"/>
      <c r="T198" s="39"/>
      <c r="U198" s="39"/>
      <c r="V198" s="39"/>
      <c r="W198" s="39"/>
      <c r="X198" s="39"/>
      <c r="Y198" s="39"/>
      <c r="Z198" s="39"/>
      <c r="AA198" s="39"/>
      <c r="AB198" s="39"/>
      <c r="AC198" s="39"/>
      <c r="AD198" s="39"/>
      <c r="AE198" s="39"/>
      <c r="AF198" s="39"/>
      <c r="AG198" s="39"/>
      <c r="AH198" s="39"/>
    </row>
    <row r="199" spans="1:34" s="84" customFormat="1" x14ac:dyDescent="0.25">
      <c r="A199" s="39" t="s">
        <v>922</v>
      </c>
      <c r="B199" s="46" t="s">
        <v>245</v>
      </c>
      <c r="C199" s="39" t="s">
        <v>856</v>
      </c>
      <c r="D199" s="102">
        <v>765836666</v>
      </c>
      <c r="E199" s="102">
        <v>2525013435</v>
      </c>
      <c r="F199" s="39" t="s">
        <v>256</v>
      </c>
      <c r="G199" s="81">
        <f>38607+(364+182)</f>
        <v>39153</v>
      </c>
      <c r="H199" s="50" t="str">
        <f t="shared" si="9"/>
        <v>Mar</v>
      </c>
      <c r="I199" s="51">
        <f t="shared" ca="1" si="10"/>
        <v>9</v>
      </c>
      <c r="J199" s="52" t="s">
        <v>283</v>
      </c>
      <c r="K199" s="53">
        <v>43600</v>
      </c>
      <c r="L199" s="54">
        <v>5</v>
      </c>
      <c r="M199" s="59">
        <f t="shared" si="11"/>
        <v>43600</v>
      </c>
      <c r="N199" s="100"/>
      <c r="O199" s="45"/>
      <c r="P199" s="39"/>
      <c r="Q199" s="39"/>
      <c r="R199" s="39"/>
      <c r="S199" s="39"/>
      <c r="T199" s="39"/>
      <c r="U199" s="39"/>
      <c r="V199" s="39"/>
      <c r="W199" s="39"/>
      <c r="X199" s="39"/>
      <c r="Y199" s="39"/>
      <c r="Z199" s="39"/>
      <c r="AA199" s="39"/>
      <c r="AB199" s="39"/>
      <c r="AC199" s="39"/>
      <c r="AD199" s="39"/>
      <c r="AE199" s="39"/>
      <c r="AF199" s="39"/>
      <c r="AG199" s="39"/>
      <c r="AH199" s="39"/>
    </row>
    <row r="200" spans="1:34" s="84" customFormat="1" x14ac:dyDescent="0.25">
      <c r="A200" s="39" t="s">
        <v>645</v>
      </c>
      <c r="B200" s="46" t="s">
        <v>245</v>
      </c>
      <c r="C200" s="39" t="s">
        <v>626</v>
      </c>
      <c r="D200" s="102">
        <v>895408697</v>
      </c>
      <c r="E200" s="102">
        <v>2523383207</v>
      </c>
      <c r="F200" s="39" t="s">
        <v>256</v>
      </c>
      <c r="G200" s="81">
        <f>38611+(364+182)</f>
        <v>39157</v>
      </c>
      <c r="H200" s="50" t="str">
        <f t="shared" si="9"/>
        <v>Mar</v>
      </c>
      <c r="I200" s="51">
        <f t="shared" ca="1" si="10"/>
        <v>9</v>
      </c>
      <c r="J200" s="52" t="s">
        <v>283</v>
      </c>
      <c r="K200" s="53">
        <v>47610</v>
      </c>
      <c r="L200" s="54">
        <v>4</v>
      </c>
      <c r="M200" s="59">
        <f t="shared" si="11"/>
        <v>47610</v>
      </c>
      <c r="N200" s="100"/>
      <c r="O200" s="45"/>
      <c r="P200" s="39"/>
      <c r="Q200" s="39"/>
      <c r="R200" s="39"/>
      <c r="S200" s="39"/>
      <c r="T200" s="39"/>
      <c r="U200" s="39"/>
      <c r="V200" s="39"/>
      <c r="W200" s="39"/>
      <c r="X200" s="39"/>
      <c r="Y200" s="39"/>
      <c r="Z200" s="39"/>
      <c r="AA200" s="39"/>
      <c r="AB200" s="39"/>
      <c r="AC200" s="39"/>
      <c r="AD200" s="39"/>
      <c r="AE200" s="39"/>
      <c r="AF200" s="39"/>
      <c r="AG200" s="39"/>
      <c r="AH200" s="39"/>
    </row>
    <row r="201" spans="1:34" s="84" customFormat="1" x14ac:dyDescent="0.25">
      <c r="A201" s="39" t="s">
        <v>993</v>
      </c>
      <c r="B201" s="46" t="s">
        <v>280</v>
      </c>
      <c r="C201" s="39" t="s">
        <v>930</v>
      </c>
      <c r="D201" s="102">
        <v>276873359</v>
      </c>
      <c r="E201" s="102">
        <v>2522304625</v>
      </c>
      <c r="F201" s="39" t="s">
        <v>256</v>
      </c>
      <c r="G201" s="81">
        <f>38625+(364+182)</f>
        <v>39171</v>
      </c>
      <c r="H201" s="50" t="str">
        <f t="shared" si="9"/>
        <v>Mar</v>
      </c>
      <c r="I201" s="51">
        <f t="shared" ca="1" si="10"/>
        <v>9</v>
      </c>
      <c r="J201" s="52" t="s">
        <v>267</v>
      </c>
      <c r="K201" s="53">
        <v>25690</v>
      </c>
      <c r="L201" s="54">
        <v>2</v>
      </c>
      <c r="M201" s="59">
        <f t="shared" si="11"/>
        <v>25690</v>
      </c>
      <c r="N201" s="100"/>
      <c r="O201" s="45"/>
      <c r="P201" s="39"/>
      <c r="Q201" s="39"/>
      <c r="R201" s="39"/>
      <c r="S201" s="39"/>
      <c r="T201" s="39"/>
      <c r="U201" s="39"/>
      <c r="V201" s="39"/>
      <c r="W201" s="39"/>
      <c r="X201" s="39"/>
      <c r="Y201" s="39"/>
      <c r="Z201" s="39"/>
      <c r="AA201" s="39"/>
      <c r="AB201" s="39"/>
      <c r="AC201" s="39"/>
      <c r="AD201" s="39"/>
      <c r="AE201" s="39"/>
      <c r="AF201" s="39"/>
      <c r="AG201" s="39"/>
      <c r="AH201" s="39"/>
    </row>
    <row r="202" spans="1:34" s="84" customFormat="1" x14ac:dyDescent="0.25">
      <c r="A202" s="39" t="s">
        <v>377</v>
      </c>
      <c r="B202" s="46" t="s">
        <v>271</v>
      </c>
      <c r="C202" s="39" t="s">
        <v>372</v>
      </c>
      <c r="D202" s="102">
        <v>106966222</v>
      </c>
      <c r="E202" s="102">
        <v>9198310129</v>
      </c>
      <c r="F202" s="39" t="s">
        <v>247</v>
      </c>
      <c r="G202" s="81">
        <f>38983+(364+182)</f>
        <v>39529</v>
      </c>
      <c r="H202" s="50" t="str">
        <f t="shared" si="9"/>
        <v>Mar</v>
      </c>
      <c r="I202" s="51">
        <f t="shared" ca="1" si="10"/>
        <v>8</v>
      </c>
      <c r="J202" s="52"/>
      <c r="K202" s="53">
        <v>35620</v>
      </c>
      <c r="L202" s="54">
        <v>4</v>
      </c>
      <c r="M202" s="59">
        <f t="shared" si="11"/>
        <v>35620</v>
      </c>
      <c r="N202" s="100"/>
      <c r="O202" s="45"/>
      <c r="P202" s="39"/>
      <c r="Q202" s="39"/>
      <c r="R202" s="39"/>
      <c r="S202" s="39"/>
      <c r="T202" s="39"/>
      <c r="U202" s="39"/>
      <c r="V202" s="39"/>
      <c r="W202" s="39"/>
      <c r="X202" s="39"/>
      <c r="Y202" s="39"/>
      <c r="Z202" s="39"/>
      <c r="AA202" s="39"/>
      <c r="AB202" s="39"/>
      <c r="AC202" s="39"/>
      <c r="AD202" s="39"/>
      <c r="AE202" s="39"/>
      <c r="AF202" s="39"/>
      <c r="AG202" s="39"/>
      <c r="AH202" s="39"/>
    </row>
    <row r="203" spans="1:34" s="84" customFormat="1" x14ac:dyDescent="0.25">
      <c r="A203" s="39" t="s">
        <v>1023</v>
      </c>
      <c r="B203" s="46" t="s">
        <v>280</v>
      </c>
      <c r="C203" s="39" t="s">
        <v>930</v>
      </c>
      <c r="D203" s="102">
        <v>843299208</v>
      </c>
      <c r="E203" s="102">
        <v>9198631557</v>
      </c>
      <c r="F203" s="39" t="s">
        <v>261</v>
      </c>
      <c r="G203" s="81">
        <f>38989+(364+182)</f>
        <v>39535</v>
      </c>
      <c r="H203" s="50" t="str">
        <f t="shared" si="9"/>
        <v>Mar</v>
      </c>
      <c r="I203" s="51">
        <f t="shared" ca="1" si="10"/>
        <v>8</v>
      </c>
      <c r="J203" s="52" t="s">
        <v>276</v>
      </c>
      <c r="K203" s="53">
        <v>49080</v>
      </c>
      <c r="L203" s="54">
        <v>5</v>
      </c>
      <c r="M203" s="59">
        <f t="shared" si="11"/>
        <v>49080</v>
      </c>
      <c r="N203" s="100"/>
      <c r="O203" s="45"/>
      <c r="P203" s="39"/>
      <c r="Q203" s="39"/>
      <c r="R203" s="39"/>
      <c r="S203" s="39"/>
      <c r="T203" s="39"/>
      <c r="U203" s="39"/>
      <c r="V203" s="39"/>
      <c r="W203" s="39"/>
      <c r="X203" s="39"/>
      <c r="Y203" s="39"/>
      <c r="Z203" s="39"/>
      <c r="AA203" s="39"/>
      <c r="AB203" s="39"/>
      <c r="AC203" s="39"/>
      <c r="AD203" s="39"/>
      <c r="AE203" s="39"/>
      <c r="AF203" s="39"/>
      <c r="AG203" s="39"/>
      <c r="AH203" s="39"/>
    </row>
    <row r="204" spans="1:34" s="84" customFormat="1" x14ac:dyDescent="0.25">
      <c r="A204" s="39" t="s">
        <v>475</v>
      </c>
      <c r="B204" s="46" t="s">
        <v>245</v>
      </c>
      <c r="C204" s="39" t="s">
        <v>465</v>
      </c>
      <c r="D204" s="102">
        <v>318068637</v>
      </c>
      <c r="E204" s="102">
        <v>9193709408</v>
      </c>
      <c r="F204" s="39" t="s">
        <v>247</v>
      </c>
      <c r="G204" s="81">
        <f>38992+(364+182)</f>
        <v>39538</v>
      </c>
      <c r="H204" s="50" t="str">
        <f t="shared" si="9"/>
        <v>Mar</v>
      </c>
      <c r="I204" s="51">
        <f t="shared" ca="1" si="10"/>
        <v>8</v>
      </c>
      <c r="J204" s="52"/>
      <c r="K204" s="53">
        <v>62780</v>
      </c>
      <c r="L204" s="54">
        <v>4</v>
      </c>
      <c r="M204" s="59">
        <f t="shared" si="11"/>
        <v>62780</v>
      </c>
      <c r="N204" s="100"/>
      <c r="O204" s="45"/>
      <c r="P204" s="39"/>
      <c r="Q204" s="39"/>
      <c r="R204" s="39"/>
      <c r="S204" s="39"/>
      <c r="T204" s="39"/>
      <c r="U204" s="39"/>
      <c r="V204" s="39"/>
      <c r="W204" s="39"/>
      <c r="X204" s="39"/>
      <c r="Y204" s="39"/>
      <c r="Z204" s="39"/>
      <c r="AA204" s="39"/>
      <c r="AB204" s="39"/>
      <c r="AC204" s="39"/>
      <c r="AD204" s="39"/>
      <c r="AE204" s="39"/>
      <c r="AF204" s="39"/>
      <c r="AG204" s="39"/>
      <c r="AH204" s="39"/>
    </row>
    <row r="205" spans="1:34" s="84" customFormat="1" x14ac:dyDescent="0.25">
      <c r="A205" s="39" t="s">
        <v>429</v>
      </c>
      <c r="B205" s="46" t="s">
        <v>271</v>
      </c>
      <c r="C205" s="39" t="s">
        <v>417</v>
      </c>
      <c r="D205" s="102">
        <v>407299017</v>
      </c>
      <c r="E205" s="102">
        <v>9195968632</v>
      </c>
      <c r="F205" s="39" t="s">
        <v>252</v>
      </c>
      <c r="G205" s="81">
        <f>39347+(364+182)</f>
        <v>39893</v>
      </c>
      <c r="H205" s="50" t="str">
        <f t="shared" si="9"/>
        <v>Mar</v>
      </c>
      <c r="I205" s="51">
        <f t="shared" ca="1" si="10"/>
        <v>7</v>
      </c>
      <c r="J205" s="52"/>
      <c r="K205" s="53">
        <v>15744</v>
      </c>
      <c r="L205" s="54">
        <v>3</v>
      </c>
      <c r="M205" s="59">
        <f t="shared" si="11"/>
        <v>15744</v>
      </c>
      <c r="N205" s="100"/>
      <c r="O205" s="45"/>
      <c r="P205" s="39"/>
      <c r="Q205" s="39"/>
      <c r="R205" s="39"/>
      <c r="S205" s="39"/>
      <c r="T205" s="39"/>
      <c r="U205" s="39"/>
      <c r="V205" s="39"/>
      <c r="W205" s="39"/>
      <c r="X205" s="39"/>
      <c r="Y205" s="39"/>
      <c r="Z205" s="39"/>
      <c r="AA205" s="39"/>
      <c r="AB205" s="39"/>
      <c r="AC205" s="39"/>
      <c r="AD205" s="39"/>
      <c r="AE205" s="39"/>
      <c r="AF205" s="39"/>
      <c r="AG205" s="39"/>
      <c r="AH205" s="39"/>
    </row>
    <row r="206" spans="1:34" s="84" customFormat="1" x14ac:dyDescent="0.25">
      <c r="A206" s="39" t="s">
        <v>785</v>
      </c>
      <c r="B206" s="46" t="s">
        <v>245</v>
      </c>
      <c r="C206" s="39" t="s">
        <v>767</v>
      </c>
      <c r="D206" s="102">
        <v>151277827</v>
      </c>
      <c r="E206" s="102">
        <v>9197179128</v>
      </c>
      <c r="F206" s="39" t="s">
        <v>256</v>
      </c>
      <c r="G206" s="81">
        <f>39353+(364+182)</f>
        <v>39899</v>
      </c>
      <c r="H206" s="50" t="str">
        <f t="shared" si="9"/>
        <v>Mar</v>
      </c>
      <c r="I206" s="51">
        <f t="shared" ca="1" si="10"/>
        <v>7</v>
      </c>
      <c r="J206" s="52" t="s">
        <v>257</v>
      </c>
      <c r="K206" s="53">
        <v>24790</v>
      </c>
      <c r="L206" s="54">
        <v>3</v>
      </c>
      <c r="M206" s="59">
        <f t="shared" si="11"/>
        <v>24790</v>
      </c>
      <c r="N206" s="100"/>
      <c r="O206" s="45"/>
      <c r="P206" s="39"/>
      <c r="Q206" s="39"/>
      <c r="R206" s="39"/>
      <c r="S206" s="39"/>
      <c r="T206" s="39"/>
      <c r="U206" s="39"/>
      <c r="V206" s="39"/>
      <c r="W206" s="39"/>
      <c r="X206" s="39"/>
      <c r="Y206" s="39"/>
      <c r="Z206" s="39"/>
      <c r="AA206" s="39"/>
      <c r="AB206" s="39"/>
      <c r="AC206" s="39"/>
      <c r="AD206" s="39"/>
      <c r="AE206" s="39"/>
      <c r="AF206" s="39"/>
      <c r="AG206" s="39"/>
      <c r="AH206" s="39"/>
    </row>
    <row r="207" spans="1:34" s="84" customFormat="1" x14ac:dyDescent="0.25">
      <c r="A207" s="39" t="s">
        <v>378</v>
      </c>
      <c r="B207" s="46" t="s">
        <v>285</v>
      </c>
      <c r="C207" s="39" t="s">
        <v>372</v>
      </c>
      <c r="D207" s="102">
        <v>495042805</v>
      </c>
      <c r="E207" s="102">
        <v>9197146686</v>
      </c>
      <c r="F207" s="39" t="s">
        <v>247</v>
      </c>
      <c r="G207" s="103">
        <f>39707+(364+182)</f>
        <v>40253</v>
      </c>
      <c r="H207" s="50" t="str">
        <f t="shared" si="9"/>
        <v>Mar</v>
      </c>
      <c r="I207" s="51">
        <f t="shared" ca="1" si="10"/>
        <v>6</v>
      </c>
      <c r="J207" s="52"/>
      <c r="K207" s="53">
        <v>59350</v>
      </c>
      <c r="L207" s="54">
        <v>5</v>
      </c>
      <c r="M207" s="59">
        <f t="shared" si="11"/>
        <v>59350</v>
      </c>
      <c r="N207" s="100"/>
      <c r="O207" s="45"/>
      <c r="P207" s="39"/>
      <c r="Q207" s="39"/>
      <c r="R207" s="39"/>
      <c r="S207" s="39"/>
      <c r="T207" s="39"/>
      <c r="U207" s="39"/>
      <c r="V207" s="39"/>
      <c r="W207" s="39"/>
      <c r="X207" s="39"/>
      <c r="Y207" s="39"/>
      <c r="Z207" s="39"/>
      <c r="AA207" s="39"/>
      <c r="AB207" s="39"/>
      <c r="AC207" s="39"/>
      <c r="AD207" s="39"/>
      <c r="AE207" s="39"/>
      <c r="AF207" s="39"/>
      <c r="AG207" s="39"/>
      <c r="AH207" s="39"/>
    </row>
    <row r="208" spans="1:34" s="84" customFormat="1" x14ac:dyDescent="0.25">
      <c r="A208" s="39" t="s">
        <v>834</v>
      </c>
      <c r="B208" s="46" t="s">
        <v>251</v>
      </c>
      <c r="C208" s="39" t="s">
        <v>767</v>
      </c>
      <c r="D208" s="102">
        <v>618775364</v>
      </c>
      <c r="E208" s="102">
        <v>9193182167</v>
      </c>
      <c r="F208" s="39" t="s">
        <v>261</v>
      </c>
      <c r="G208" s="103">
        <f>39708+(364+182)</f>
        <v>40254</v>
      </c>
      <c r="H208" s="50" t="str">
        <f t="shared" si="9"/>
        <v>Mar</v>
      </c>
      <c r="I208" s="51">
        <f t="shared" ca="1" si="10"/>
        <v>6</v>
      </c>
      <c r="J208" s="52" t="s">
        <v>283</v>
      </c>
      <c r="K208" s="53">
        <v>48700</v>
      </c>
      <c r="L208" s="54">
        <v>3</v>
      </c>
      <c r="M208" s="59">
        <f t="shared" si="11"/>
        <v>48700</v>
      </c>
      <c r="N208" s="100"/>
      <c r="O208" s="45"/>
      <c r="P208" s="39"/>
      <c r="Q208" s="39"/>
      <c r="R208" s="39"/>
      <c r="S208" s="39"/>
      <c r="T208" s="39"/>
      <c r="U208" s="39"/>
      <c r="V208" s="39"/>
      <c r="W208" s="39"/>
      <c r="X208" s="39"/>
      <c r="Y208" s="39"/>
      <c r="Z208" s="39"/>
      <c r="AA208" s="39"/>
      <c r="AB208" s="39"/>
      <c r="AC208" s="39"/>
      <c r="AD208" s="39"/>
      <c r="AE208" s="39"/>
      <c r="AF208" s="39"/>
      <c r="AG208" s="39"/>
      <c r="AH208" s="39"/>
    </row>
    <row r="209" spans="1:34" s="84" customFormat="1" x14ac:dyDescent="0.25">
      <c r="A209" s="39" t="s">
        <v>427</v>
      </c>
      <c r="B209" s="46" t="s">
        <v>266</v>
      </c>
      <c r="C209" s="39" t="s">
        <v>417</v>
      </c>
      <c r="D209" s="102">
        <v>956291859</v>
      </c>
      <c r="E209" s="102">
        <v>2521156902</v>
      </c>
      <c r="F209" s="39" t="s">
        <v>247</v>
      </c>
      <c r="G209" s="81">
        <f>39713+(364+182)</f>
        <v>40259</v>
      </c>
      <c r="H209" s="50" t="str">
        <f t="shared" si="9"/>
        <v>Mar</v>
      </c>
      <c r="I209" s="51">
        <f t="shared" ca="1" si="10"/>
        <v>6</v>
      </c>
      <c r="J209" s="52"/>
      <c r="K209" s="53">
        <v>45710</v>
      </c>
      <c r="L209" s="54">
        <v>3</v>
      </c>
      <c r="M209" s="59">
        <f t="shared" si="11"/>
        <v>45710</v>
      </c>
      <c r="N209" s="100"/>
      <c r="O209" s="45"/>
      <c r="P209" s="39"/>
      <c r="Q209" s="39"/>
      <c r="R209" s="39"/>
      <c r="S209" s="39"/>
      <c r="T209" s="39"/>
      <c r="U209" s="39"/>
      <c r="V209" s="39"/>
      <c r="W209" s="39"/>
      <c r="X209" s="39"/>
      <c r="Y209" s="39"/>
      <c r="Z209" s="39"/>
      <c r="AA209" s="39"/>
      <c r="AB209" s="39"/>
      <c r="AC209" s="39"/>
      <c r="AD209" s="39"/>
      <c r="AE209" s="39"/>
      <c r="AF209" s="39"/>
      <c r="AG209" s="39"/>
      <c r="AH209" s="39"/>
    </row>
    <row r="210" spans="1:34" x14ac:dyDescent="0.25">
      <c r="A210" s="39" t="s">
        <v>455</v>
      </c>
      <c r="B210" s="46" t="s">
        <v>251</v>
      </c>
      <c r="C210" s="39" t="s">
        <v>456</v>
      </c>
      <c r="D210" s="102">
        <v>117896630</v>
      </c>
      <c r="E210" s="102">
        <v>9197173558</v>
      </c>
      <c r="F210" s="39" t="s">
        <v>247</v>
      </c>
      <c r="G210" s="81">
        <f>39717+(364+182)</f>
        <v>40263</v>
      </c>
      <c r="H210" s="50" t="str">
        <f t="shared" si="9"/>
        <v>Mar</v>
      </c>
      <c r="I210" s="51">
        <f t="shared" ca="1" si="10"/>
        <v>6</v>
      </c>
      <c r="J210" s="52" t="s">
        <v>267</v>
      </c>
      <c r="K210" s="53">
        <v>71190</v>
      </c>
      <c r="L210" s="54">
        <v>4</v>
      </c>
      <c r="M210" s="59">
        <f t="shared" si="11"/>
        <v>71190</v>
      </c>
    </row>
    <row r="211" spans="1:34" x14ac:dyDescent="0.25">
      <c r="A211" s="39" t="s">
        <v>520</v>
      </c>
      <c r="B211" s="46" t="s">
        <v>285</v>
      </c>
      <c r="C211" s="39" t="s">
        <v>465</v>
      </c>
      <c r="D211" s="102">
        <v>377194926</v>
      </c>
      <c r="E211" s="102">
        <v>9197362525</v>
      </c>
      <c r="F211" s="39" t="s">
        <v>256</v>
      </c>
      <c r="G211" s="103">
        <f>40057+(364+182)</f>
        <v>40603</v>
      </c>
      <c r="H211" s="50" t="str">
        <f t="shared" si="9"/>
        <v>Mar</v>
      </c>
      <c r="I211" s="51">
        <f t="shared" ca="1" si="10"/>
        <v>5</v>
      </c>
      <c r="J211" s="52" t="s">
        <v>267</v>
      </c>
      <c r="K211" s="53">
        <v>44260</v>
      </c>
      <c r="L211" s="54">
        <v>1</v>
      </c>
      <c r="M211" s="59">
        <f t="shared" si="11"/>
        <v>44260</v>
      </c>
    </row>
    <row r="212" spans="1:34" x14ac:dyDescent="0.25">
      <c r="A212" s="39" t="s">
        <v>719</v>
      </c>
      <c r="B212" s="46" t="s">
        <v>251</v>
      </c>
      <c r="C212" s="39" t="s">
        <v>705</v>
      </c>
      <c r="D212" s="102">
        <v>711445298</v>
      </c>
      <c r="E212" s="102">
        <v>2528359862</v>
      </c>
      <c r="F212" s="39" t="s">
        <v>247</v>
      </c>
      <c r="G212" s="109">
        <f>40074+(364+182)</f>
        <v>40620</v>
      </c>
      <c r="H212" s="50" t="str">
        <f t="shared" si="9"/>
        <v>Mar</v>
      </c>
      <c r="I212" s="51">
        <f t="shared" ca="1" si="10"/>
        <v>5</v>
      </c>
      <c r="J212" s="52"/>
      <c r="K212" s="53">
        <v>84300</v>
      </c>
      <c r="L212" s="54">
        <v>1</v>
      </c>
      <c r="M212" s="59">
        <f t="shared" si="11"/>
        <v>84300</v>
      </c>
    </row>
    <row r="213" spans="1:34" x14ac:dyDescent="0.25">
      <c r="A213" s="39" t="s">
        <v>777</v>
      </c>
      <c r="B213" s="46" t="s">
        <v>271</v>
      </c>
      <c r="C213" s="39" t="s">
        <v>767</v>
      </c>
      <c r="D213" s="102">
        <v>728567428</v>
      </c>
      <c r="E213" s="102">
        <v>2521957923</v>
      </c>
      <c r="F213" s="39" t="s">
        <v>256</v>
      </c>
      <c r="G213" s="81">
        <f>40078+(364+182)</f>
        <v>40624</v>
      </c>
      <c r="H213" s="50" t="str">
        <f t="shared" si="9"/>
        <v>Mar</v>
      </c>
      <c r="I213" s="51">
        <f t="shared" ca="1" si="10"/>
        <v>5</v>
      </c>
      <c r="J213" s="52" t="s">
        <v>276</v>
      </c>
      <c r="K213" s="53">
        <v>86500</v>
      </c>
      <c r="L213" s="54">
        <v>1</v>
      </c>
      <c r="M213" s="59">
        <f t="shared" si="11"/>
        <v>86500</v>
      </c>
    </row>
    <row r="214" spans="1:34" x14ac:dyDescent="0.25">
      <c r="A214" s="39" t="s">
        <v>347</v>
      </c>
      <c r="B214" s="46" t="s">
        <v>245</v>
      </c>
      <c r="C214" s="39" t="s">
        <v>312</v>
      </c>
      <c r="D214" s="102">
        <v>787156286</v>
      </c>
      <c r="E214" s="102">
        <v>2524588703</v>
      </c>
      <c r="F214" s="39" t="s">
        <v>256</v>
      </c>
      <c r="G214" s="81">
        <f>32802+(364+182)</f>
        <v>33348</v>
      </c>
      <c r="H214" s="50" t="str">
        <f t="shared" si="9"/>
        <v>Apr</v>
      </c>
      <c r="I214" s="51">
        <f t="shared" ca="1" si="10"/>
        <v>25</v>
      </c>
      <c r="J214" s="52" t="s">
        <v>276</v>
      </c>
      <c r="K214" s="53">
        <v>49810</v>
      </c>
      <c r="L214" s="54">
        <v>2</v>
      </c>
      <c r="M214" s="59">
        <f t="shared" si="11"/>
        <v>49810</v>
      </c>
    </row>
    <row r="215" spans="1:34" x14ac:dyDescent="0.25">
      <c r="A215" s="39" t="s">
        <v>761</v>
      </c>
      <c r="B215" s="46" t="s">
        <v>285</v>
      </c>
      <c r="C215" s="39" t="s">
        <v>750</v>
      </c>
      <c r="D215" s="102">
        <v>219740602</v>
      </c>
      <c r="E215" s="102">
        <v>9197429525</v>
      </c>
      <c r="F215" s="39" t="s">
        <v>261</v>
      </c>
      <c r="G215" s="81">
        <f>32803+(364+182)</f>
        <v>33349</v>
      </c>
      <c r="H215" s="50" t="str">
        <f t="shared" si="9"/>
        <v>Apr</v>
      </c>
      <c r="I215" s="51">
        <f t="shared" ca="1" si="10"/>
        <v>25</v>
      </c>
      <c r="J215" s="52" t="s">
        <v>276</v>
      </c>
      <c r="K215" s="53">
        <v>16015</v>
      </c>
      <c r="L215" s="54">
        <v>3</v>
      </c>
      <c r="M215" s="59">
        <f t="shared" si="11"/>
        <v>16015</v>
      </c>
    </row>
    <row r="216" spans="1:34" x14ac:dyDescent="0.25">
      <c r="A216" s="39" t="s">
        <v>642</v>
      </c>
      <c r="B216" s="46" t="s">
        <v>285</v>
      </c>
      <c r="C216" s="39" t="s">
        <v>626</v>
      </c>
      <c r="D216" s="102">
        <v>275102740</v>
      </c>
      <c r="E216" s="102">
        <v>2521620909</v>
      </c>
      <c r="F216" s="39" t="s">
        <v>256</v>
      </c>
      <c r="G216" s="81">
        <f>33149+(364+182)</f>
        <v>33695</v>
      </c>
      <c r="H216" s="50" t="str">
        <f t="shared" si="9"/>
        <v>Apr</v>
      </c>
      <c r="I216" s="51">
        <f t="shared" ca="1" si="10"/>
        <v>24</v>
      </c>
      <c r="J216" s="52" t="s">
        <v>262</v>
      </c>
      <c r="K216" s="53">
        <v>60560</v>
      </c>
      <c r="L216" s="54">
        <v>4</v>
      </c>
      <c r="M216" s="59">
        <f t="shared" si="11"/>
        <v>60560</v>
      </c>
    </row>
    <row r="217" spans="1:34" x14ac:dyDescent="0.25">
      <c r="A217" s="39" t="s">
        <v>661</v>
      </c>
      <c r="B217" s="46" t="s">
        <v>245</v>
      </c>
      <c r="C217" s="39" t="s">
        <v>626</v>
      </c>
      <c r="D217" s="102">
        <v>948189231</v>
      </c>
      <c r="E217" s="102">
        <v>2527687161</v>
      </c>
      <c r="F217" s="39" t="s">
        <v>256</v>
      </c>
      <c r="G217" s="81">
        <f>33156+(364+182)</f>
        <v>33702</v>
      </c>
      <c r="H217" s="50" t="str">
        <f t="shared" si="9"/>
        <v>Apr</v>
      </c>
      <c r="I217" s="51">
        <f t="shared" ca="1" si="10"/>
        <v>24</v>
      </c>
      <c r="J217" s="52" t="s">
        <v>257</v>
      </c>
      <c r="K217" s="53">
        <v>37020</v>
      </c>
      <c r="L217" s="54">
        <v>2</v>
      </c>
      <c r="M217" s="59">
        <f t="shared" si="11"/>
        <v>37020</v>
      </c>
    </row>
    <row r="218" spans="1:34" x14ac:dyDescent="0.25">
      <c r="A218" s="39" t="s">
        <v>432</v>
      </c>
      <c r="B218" s="46" t="s">
        <v>245</v>
      </c>
      <c r="C218" s="39" t="s">
        <v>417</v>
      </c>
      <c r="D218" s="102">
        <v>304068732</v>
      </c>
      <c r="E218" s="102">
        <v>2523919445</v>
      </c>
      <c r="F218" s="39" t="s">
        <v>261</v>
      </c>
      <c r="G218" s="81">
        <f>33163+(364+182)</f>
        <v>33709</v>
      </c>
      <c r="H218" s="50" t="str">
        <f t="shared" si="9"/>
        <v>Apr</v>
      </c>
      <c r="I218" s="51">
        <f t="shared" ca="1" si="10"/>
        <v>24</v>
      </c>
      <c r="J218" s="52" t="s">
        <v>257</v>
      </c>
      <c r="K218" s="53">
        <v>34110</v>
      </c>
      <c r="L218" s="54">
        <v>4</v>
      </c>
      <c r="M218" s="59">
        <f t="shared" si="11"/>
        <v>34110</v>
      </c>
      <c r="N218" s="107"/>
    </row>
    <row r="219" spans="1:34" x14ac:dyDescent="0.25">
      <c r="A219" s="39" t="s">
        <v>909</v>
      </c>
      <c r="B219" s="46" t="s">
        <v>285</v>
      </c>
      <c r="C219" s="39" t="s">
        <v>856</v>
      </c>
      <c r="D219" s="102">
        <v>693965055</v>
      </c>
      <c r="E219" s="102">
        <v>2527853314</v>
      </c>
      <c r="F219" s="39" t="s">
        <v>256</v>
      </c>
      <c r="G219" s="81">
        <f>33165+(364+182)</f>
        <v>33711</v>
      </c>
      <c r="H219" s="50" t="str">
        <f t="shared" si="9"/>
        <v>Apr</v>
      </c>
      <c r="I219" s="51">
        <f t="shared" ca="1" si="10"/>
        <v>24</v>
      </c>
      <c r="J219" s="52" t="s">
        <v>257</v>
      </c>
      <c r="K219" s="53">
        <v>68470</v>
      </c>
      <c r="L219" s="54">
        <v>4</v>
      </c>
      <c r="M219" s="59">
        <f t="shared" si="11"/>
        <v>68470</v>
      </c>
    </row>
    <row r="220" spans="1:34" x14ac:dyDescent="0.25">
      <c r="A220" s="39" t="s">
        <v>306</v>
      </c>
      <c r="B220" s="46" t="s">
        <v>285</v>
      </c>
      <c r="C220" s="39" t="s">
        <v>307</v>
      </c>
      <c r="D220" s="102">
        <v>682791418</v>
      </c>
      <c r="E220" s="102">
        <v>9194603155</v>
      </c>
      <c r="F220" s="39" t="s">
        <v>256</v>
      </c>
      <c r="G220" s="81">
        <f>33167+(364+182)</f>
        <v>33713</v>
      </c>
      <c r="H220" s="50" t="str">
        <f t="shared" si="9"/>
        <v>Apr</v>
      </c>
      <c r="I220" s="51">
        <f t="shared" ca="1" si="10"/>
        <v>24</v>
      </c>
      <c r="J220" s="52" t="s">
        <v>257</v>
      </c>
      <c r="K220" s="53">
        <v>46220</v>
      </c>
      <c r="L220" s="54">
        <v>3</v>
      </c>
      <c r="M220" s="59">
        <f t="shared" si="11"/>
        <v>46220</v>
      </c>
      <c r="N220" s="107"/>
      <c r="O220" s="101"/>
    </row>
    <row r="221" spans="1:34" x14ac:dyDescent="0.25">
      <c r="A221" s="39" t="s">
        <v>523</v>
      </c>
      <c r="B221" s="46" t="s">
        <v>245</v>
      </c>
      <c r="C221" s="39" t="s">
        <v>465</v>
      </c>
      <c r="D221" s="102">
        <v>467030396</v>
      </c>
      <c r="E221" s="102">
        <v>2526213620</v>
      </c>
      <c r="F221" s="39" t="s">
        <v>256</v>
      </c>
      <c r="G221" s="81">
        <f>33174+(364+182)</f>
        <v>33720</v>
      </c>
      <c r="H221" s="50" t="str">
        <f t="shared" si="9"/>
        <v>Apr</v>
      </c>
      <c r="I221" s="51">
        <f t="shared" ca="1" si="10"/>
        <v>24</v>
      </c>
      <c r="J221" s="52" t="s">
        <v>283</v>
      </c>
      <c r="K221" s="53">
        <v>58910</v>
      </c>
      <c r="L221" s="54">
        <v>1</v>
      </c>
      <c r="M221" s="59">
        <f t="shared" si="11"/>
        <v>58910</v>
      </c>
    </row>
    <row r="222" spans="1:34" x14ac:dyDescent="0.25">
      <c r="A222" s="39" t="s">
        <v>519</v>
      </c>
      <c r="B222" s="46" t="s">
        <v>271</v>
      </c>
      <c r="C222" s="39" t="s">
        <v>465</v>
      </c>
      <c r="D222" s="102">
        <v>854806695</v>
      </c>
      <c r="E222" s="102">
        <v>9192672603</v>
      </c>
      <c r="F222" s="39" t="s">
        <v>256</v>
      </c>
      <c r="G222" s="81">
        <f>33175+(364+182)</f>
        <v>33721</v>
      </c>
      <c r="H222" s="50" t="str">
        <f t="shared" si="9"/>
        <v>Apr</v>
      </c>
      <c r="I222" s="51">
        <f t="shared" ca="1" si="10"/>
        <v>24</v>
      </c>
      <c r="J222" s="52" t="s">
        <v>283</v>
      </c>
      <c r="K222" s="53">
        <v>26190</v>
      </c>
      <c r="L222" s="54">
        <v>5</v>
      </c>
      <c r="M222" s="59">
        <f t="shared" si="11"/>
        <v>26190</v>
      </c>
    </row>
    <row r="223" spans="1:34" x14ac:dyDescent="0.25">
      <c r="A223" s="39" t="s">
        <v>772</v>
      </c>
      <c r="B223" s="46" t="s">
        <v>271</v>
      </c>
      <c r="C223" s="39" t="s">
        <v>767</v>
      </c>
      <c r="D223" s="102">
        <v>558903229</v>
      </c>
      <c r="E223" s="102">
        <v>9195699651</v>
      </c>
      <c r="F223" s="39" t="s">
        <v>256</v>
      </c>
      <c r="G223" s="81">
        <f>33515+(364+182)</f>
        <v>34061</v>
      </c>
      <c r="H223" s="50" t="str">
        <f t="shared" si="9"/>
        <v>Apr</v>
      </c>
      <c r="I223" s="51">
        <f t="shared" ca="1" si="10"/>
        <v>23</v>
      </c>
      <c r="J223" s="52" t="s">
        <v>257</v>
      </c>
      <c r="K223" s="53">
        <v>23320</v>
      </c>
      <c r="L223" s="54">
        <v>4</v>
      </c>
      <c r="M223" s="59">
        <f t="shared" si="11"/>
        <v>23320</v>
      </c>
    </row>
    <row r="224" spans="1:34" x14ac:dyDescent="0.25">
      <c r="A224" s="39" t="s">
        <v>662</v>
      </c>
      <c r="B224" s="46" t="s">
        <v>285</v>
      </c>
      <c r="C224" s="39" t="s">
        <v>626</v>
      </c>
      <c r="D224" s="102">
        <v>443476169</v>
      </c>
      <c r="E224" s="102">
        <v>9195085809</v>
      </c>
      <c r="F224" s="39" t="s">
        <v>256</v>
      </c>
      <c r="G224" s="81">
        <f>33521+(364+182)</f>
        <v>34067</v>
      </c>
      <c r="H224" s="50" t="str">
        <f t="shared" si="9"/>
        <v>Apr</v>
      </c>
      <c r="I224" s="51">
        <f t="shared" ca="1" si="10"/>
        <v>23</v>
      </c>
      <c r="J224" s="52" t="s">
        <v>267</v>
      </c>
      <c r="K224" s="53">
        <v>86540</v>
      </c>
      <c r="L224" s="54">
        <v>4</v>
      </c>
      <c r="M224" s="59">
        <f t="shared" si="11"/>
        <v>86540</v>
      </c>
    </row>
    <row r="225" spans="1:15" x14ac:dyDescent="0.25">
      <c r="A225" s="39" t="s">
        <v>487</v>
      </c>
      <c r="B225" s="46" t="s">
        <v>280</v>
      </c>
      <c r="C225" s="39" t="s">
        <v>465</v>
      </c>
      <c r="D225" s="102">
        <v>487810878</v>
      </c>
      <c r="E225" s="102">
        <v>9194555389</v>
      </c>
      <c r="F225" s="39" t="s">
        <v>256</v>
      </c>
      <c r="G225" s="81">
        <f>33522+(364+182)</f>
        <v>34068</v>
      </c>
      <c r="H225" s="50" t="str">
        <f t="shared" si="9"/>
        <v>Apr</v>
      </c>
      <c r="I225" s="51">
        <f t="shared" ca="1" si="10"/>
        <v>23</v>
      </c>
      <c r="J225" s="52" t="s">
        <v>283</v>
      </c>
      <c r="K225" s="53">
        <v>23330</v>
      </c>
      <c r="L225" s="54">
        <v>4</v>
      </c>
      <c r="M225" s="59">
        <f t="shared" si="11"/>
        <v>23330</v>
      </c>
    </row>
    <row r="226" spans="1:15" x14ac:dyDescent="0.25">
      <c r="A226" s="39" t="s">
        <v>287</v>
      </c>
      <c r="B226" s="46" t="s">
        <v>271</v>
      </c>
      <c r="C226" s="39" t="s">
        <v>272</v>
      </c>
      <c r="D226" s="102">
        <v>202815919</v>
      </c>
      <c r="E226" s="102">
        <v>2528467597</v>
      </c>
      <c r="F226" s="39" t="s">
        <v>247</v>
      </c>
      <c r="G226" s="81">
        <f>33530+(364+182)</f>
        <v>34076</v>
      </c>
      <c r="H226" s="50" t="str">
        <f t="shared" si="9"/>
        <v>Apr</v>
      </c>
      <c r="I226" s="51">
        <f t="shared" ca="1" si="10"/>
        <v>23</v>
      </c>
      <c r="J226" s="52"/>
      <c r="K226" s="53">
        <v>66580</v>
      </c>
      <c r="L226" s="54">
        <v>5</v>
      </c>
      <c r="M226" s="59">
        <f t="shared" si="11"/>
        <v>66580</v>
      </c>
      <c r="N226" s="107"/>
      <c r="O226" s="104"/>
    </row>
    <row r="227" spans="1:15" x14ac:dyDescent="0.25">
      <c r="A227" s="39" t="s">
        <v>450</v>
      </c>
      <c r="B227" s="46" t="s">
        <v>285</v>
      </c>
      <c r="C227" s="39" t="s">
        <v>417</v>
      </c>
      <c r="D227" s="102">
        <v>302598687</v>
      </c>
      <c r="E227" s="102">
        <v>9195394899</v>
      </c>
      <c r="F227" s="39" t="s">
        <v>256</v>
      </c>
      <c r="G227" s="81">
        <f>33540+(364+182)</f>
        <v>34086</v>
      </c>
      <c r="H227" s="50" t="str">
        <f t="shared" si="9"/>
        <v>Apr</v>
      </c>
      <c r="I227" s="51">
        <f t="shared" ca="1" si="10"/>
        <v>23</v>
      </c>
      <c r="J227" s="52" t="s">
        <v>257</v>
      </c>
      <c r="K227" s="53">
        <v>31840</v>
      </c>
      <c r="L227" s="54">
        <v>1</v>
      </c>
      <c r="M227" s="59">
        <f t="shared" si="11"/>
        <v>31840</v>
      </c>
    </row>
    <row r="228" spans="1:15" x14ac:dyDescent="0.25">
      <c r="A228" s="39" t="s">
        <v>548</v>
      </c>
      <c r="B228" s="46" t="s">
        <v>271</v>
      </c>
      <c r="C228" s="39" t="s">
        <v>465</v>
      </c>
      <c r="D228" s="102">
        <v>219245495</v>
      </c>
      <c r="E228" s="102">
        <v>9198256039</v>
      </c>
      <c r="F228" s="39" t="s">
        <v>247</v>
      </c>
      <c r="G228" s="81">
        <f>33879+(364+182)</f>
        <v>34425</v>
      </c>
      <c r="H228" s="50" t="str">
        <f t="shared" si="9"/>
        <v>Apr</v>
      </c>
      <c r="I228" s="51">
        <f t="shared" ca="1" si="10"/>
        <v>22</v>
      </c>
      <c r="J228" s="52"/>
      <c r="K228" s="53">
        <v>63310</v>
      </c>
      <c r="L228" s="54">
        <v>3</v>
      </c>
      <c r="M228" s="59">
        <f t="shared" si="11"/>
        <v>63310</v>
      </c>
    </row>
    <row r="229" spans="1:15" x14ac:dyDescent="0.25">
      <c r="A229" s="39" t="s">
        <v>1004</v>
      </c>
      <c r="B229" s="46" t="s">
        <v>271</v>
      </c>
      <c r="C229" s="39" t="s">
        <v>930</v>
      </c>
      <c r="D229" s="102">
        <v>318723704</v>
      </c>
      <c r="E229" s="102">
        <v>9196526117</v>
      </c>
      <c r="F229" s="39" t="s">
        <v>256</v>
      </c>
      <c r="G229" s="81">
        <f>33879+(364+182)</f>
        <v>34425</v>
      </c>
      <c r="H229" s="50" t="str">
        <f t="shared" si="9"/>
        <v>Apr</v>
      </c>
      <c r="I229" s="51">
        <f t="shared" ca="1" si="10"/>
        <v>22</v>
      </c>
      <c r="J229" s="52" t="s">
        <v>283</v>
      </c>
      <c r="K229" s="53">
        <v>73850</v>
      </c>
      <c r="L229" s="54">
        <v>2</v>
      </c>
      <c r="M229" s="59">
        <f t="shared" si="11"/>
        <v>73850</v>
      </c>
    </row>
    <row r="230" spans="1:15" x14ac:dyDescent="0.25">
      <c r="A230" s="39" t="s">
        <v>831</v>
      </c>
      <c r="B230" s="46" t="s">
        <v>245</v>
      </c>
      <c r="C230" s="39" t="s">
        <v>767</v>
      </c>
      <c r="D230" s="102">
        <v>160184934</v>
      </c>
      <c r="E230" s="102">
        <v>9191191599</v>
      </c>
      <c r="F230" s="39" t="s">
        <v>261</v>
      </c>
      <c r="G230" s="81">
        <f>34247+(364+182)</f>
        <v>34793</v>
      </c>
      <c r="H230" s="50" t="str">
        <f t="shared" si="9"/>
        <v>Apr</v>
      </c>
      <c r="I230" s="51">
        <f t="shared" ca="1" si="10"/>
        <v>21</v>
      </c>
      <c r="J230" s="52" t="s">
        <v>283</v>
      </c>
      <c r="K230" s="53">
        <v>10700</v>
      </c>
      <c r="L230" s="54">
        <v>4</v>
      </c>
      <c r="M230" s="59">
        <f t="shared" si="11"/>
        <v>10700</v>
      </c>
    </row>
    <row r="231" spans="1:15" x14ac:dyDescent="0.25">
      <c r="A231" s="39" t="s">
        <v>916</v>
      </c>
      <c r="B231" s="46" t="s">
        <v>285</v>
      </c>
      <c r="C231" s="39" t="s">
        <v>856</v>
      </c>
      <c r="D231" s="102">
        <v>744830329</v>
      </c>
      <c r="E231" s="102">
        <v>9196098293</v>
      </c>
      <c r="F231" s="39" t="s">
        <v>256</v>
      </c>
      <c r="G231" s="81">
        <f>34254+(364+182)</f>
        <v>34800</v>
      </c>
      <c r="H231" s="50" t="str">
        <f t="shared" si="9"/>
        <v>Apr</v>
      </c>
      <c r="I231" s="51">
        <f t="shared" ca="1" si="10"/>
        <v>21</v>
      </c>
      <c r="J231" s="52" t="s">
        <v>262</v>
      </c>
      <c r="K231" s="53">
        <v>82700</v>
      </c>
      <c r="L231" s="54">
        <v>3</v>
      </c>
      <c r="M231" s="59">
        <f t="shared" si="11"/>
        <v>82700</v>
      </c>
    </row>
    <row r="232" spans="1:15" x14ac:dyDescent="0.25">
      <c r="A232" s="39" t="s">
        <v>701</v>
      </c>
      <c r="B232" s="46" t="s">
        <v>285</v>
      </c>
      <c r="C232" s="39" t="s">
        <v>700</v>
      </c>
      <c r="D232" s="102">
        <v>974912089</v>
      </c>
      <c r="E232" s="102">
        <v>9192601200</v>
      </c>
      <c r="F232" s="39" t="s">
        <v>256</v>
      </c>
      <c r="G232" s="81">
        <f>34268+(364+182)</f>
        <v>34814</v>
      </c>
      <c r="H232" s="50" t="str">
        <f t="shared" si="9"/>
        <v>Apr</v>
      </c>
      <c r="I232" s="51">
        <f t="shared" ca="1" si="10"/>
        <v>21</v>
      </c>
      <c r="J232" s="52" t="s">
        <v>257</v>
      </c>
      <c r="K232" s="53">
        <v>63190</v>
      </c>
      <c r="L232" s="54">
        <v>1</v>
      </c>
      <c r="M232" s="59">
        <f t="shared" si="11"/>
        <v>63190</v>
      </c>
    </row>
    <row r="233" spans="1:15" x14ac:dyDescent="0.25">
      <c r="A233" s="39" t="s">
        <v>599</v>
      </c>
      <c r="B233" s="46" t="s">
        <v>271</v>
      </c>
      <c r="C233" s="39" t="s">
        <v>465</v>
      </c>
      <c r="D233" s="102">
        <v>962553692</v>
      </c>
      <c r="E233" s="102">
        <v>9196689962</v>
      </c>
      <c r="F233" s="39" t="s">
        <v>256</v>
      </c>
      <c r="G233" s="81">
        <f>34610+(364+182)</f>
        <v>35156</v>
      </c>
      <c r="H233" s="50" t="str">
        <f t="shared" si="9"/>
        <v>Apr</v>
      </c>
      <c r="I233" s="51">
        <f t="shared" ca="1" si="10"/>
        <v>20</v>
      </c>
      <c r="J233" s="52" t="s">
        <v>283</v>
      </c>
      <c r="K233" s="53">
        <v>86260</v>
      </c>
      <c r="L233" s="54">
        <v>3</v>
      </c>
      <c r="M233" s="59">
        <f t="shared" si="11"/>
        <v>86260</v>
      </c>
    </row>
    <row r="234" spans="1:15" x14ac:dyDescent="0.25">
      <c r="A234" s="39" t="s">
        <v>366</v>
      </c>
      <c r="B234" s="46" t="s">
        <v>245</v>
      </c>
      <c r="C234" s="39" t="s">
        <v>312</v>
      </c>
      <c r="D234" s="102">
        <v>841913875</v>
      </c>
      <c r="E234" s="102">
        <v>2522511732</v>
      </c>
      <c r="F234" s="39" t="s">
        <v>247</v>
      </c>
      <c r="G234" s="81">
        <f>34614+(364+182)</f>
        <v>35160</v>
      </c>
      <c r="H234" s="50" t="str">
        <f t="shared" si="9"/>
        <v>Apr</v>
      </c>
      <c r="I234" s="51">
        <f t="shared" ca="1" si="10"/>
        <v>20</v>
      </c>
      <c r="J234" s="52"/>
      <c r="K234" s="53">
        <v>50550</v>
      </c>
      <c r="L234" s="54">
        <v>2</v>
      </c>
      <c r="M234" s="59">
        <f t="shared" si="11"/>
        <v>50550</v>
      </c>
    </row>
    <row r="235" spans="1:15" x14ac:dyDescent="0.25">
      <c r="A235" s="39" t="s">
        <v>827</v>
      </c>
      <c r="B235" s="46" t="s">
        <v>285</v>
      </c>
      <c r="C235" s="39" t="s">
        <v>767</v>
      </c>
      <c r="D235" s="102">
        <v>468234190</v>
      </c>
      <c r="E235" s="102">
        <v>2521569304</v>
      </c>
      <c r="F235" s="39" t="s">
        <v>256</v>
      </c>
      <c r="G235" s="81">
        <f>34623+(364+182)</f>
        <v>35169</v>
      </c>
      <c r="H235" s="50" t="str">
        <f t="shared" si="9"/>
        <v>Apr</v>
      </c>
      <c r="I235" s="51">
        <f t="shared" ca="1" si="10"/>
        <v>20</v>
      </c>
      <c r="J235" s="52" t="s">
        <v>276</v>
      </c>
      <c r="K235" s="53">
        <v>72640</v>
      </c>
      <c r="L235" s="54">
        <v>3</v>
      </c>
      <c r="M235" s="59">
        <f t="shared" si="11"/>
        <v>72640</v>
      </c>
    </row>
    <row r="236" spans="1:15" x14ac:dyDescent="0.25">
      <c r="A236" s="39" t="s">
        <v>530</v>
      </c>
      <c r="B236" s="46" t="s">
        <v>285</v>
      </c>
      <c r="C236" s="39" t="s">
        <v>465</v>
      </c>
      <c r="D236" s="102">
        <v>920477476</v>
      </c>
      <c r="E236" s="102">
        <v>2523162442</v>
      </c>
      <c r="F236" s="39" t="s">
        <v>247</v>
      </c>
      <c r="G236" s="81">
        <f>34639+(364+182)</f>
        <v>35185</v>
      </c>
      <c r="H236" s="50" t="str">
        <f t="shared" si="9"/>
        <v>Apr</v>
      </c>
      <c r="I236" s="51">
        <f t="shared" ca="1" si="10"/>
        <v>20</v>
      </c>
      <c r="J236" s="52"/>
      <c r="K236" s="53">
        <v>24410</v>
      </c>
      <c r="L236" s="54">
        <v>3</v>
      </c>
      <c r="M236" s="59">
        <f t="shared" si="11"/>
        <v>24410</v>
      </c>
    </row>
    <row r="237" spans="1:15" x14ac:dyDescent="0.25">
      <c r="A237" s="39" t="s">
        <v>513</v>
      </c>
      <c r="B237" s="46" t="s">
        <v>285</v>
      </c>
      <c r="C237" s="39" t="s">
        <v>465</v>
      </c>
      <c r="D237" s="102">
        <v>482927373</v>
      </c>
      <c r="E237" s="102">
        <v>9198413271</v>
      </c>
      <c r="F237" s="39" t="s">
        <v>256</v>
      </c>
      <c r="G237" s="81">
        <f>34980+(364+182)</f>
        <v>35526</v>
      </c>
      <c r="H237" s="50" t="str">
        <f t="shared" si="9"/>
        <v>Apr</v>
      </c>
      <c r="I237" s="51">
        <f t="shared" ca="1" si="10"/>
        <v>19</v>
      </c>
      <c r="J237" s="52" t="s">
        <v>283</v>
      </c>
      <c r="K237" s="53">
        <v>32390</v>
      </c>
      <c r="L237" s="54">
        <v>2</v>
      </c>
      <c r="M237" s="59">
        <f t="shared" si="11"/>
        <v>32390</v>
      </c>
    </row>
    <row r="238" spans="1:15" x14ac:dyDescent="0.25">
      <c r="A238" s="39" t="s">
        <v>797</v>
      </c>
      <c r="B238" s="46" t="s">
        <v>285</v>
      </c>
      <c r="C238" s="39" t="s">
        <v>767</v>
      </c>
      <c r="D238" s="102">
        <v>302170290</v>
      </c>
      <c r="E238" s="102">
        <v>9191971988</v>
      </c>
      <c r="F238" s="39" t="s">
        <v>256</v>
      </c>
      <c r="G238" s="81">
        <f>34982+(364+182)</f>
        <v>35528</v>
      </c>
      <c r="H238" s="50" t="str">
        <f t="shared" si="9"/>
        <v>Apr</v>
      </c>
      <c r="I238" s="51">
        <f t="shared" ca="1" si="10"/>
        <v>19</v>
      </c>
      <c r="J238" s="52" t="s">
        <v>257</v>
      </c>
      <c r="K238" s="53">
        <v>63270</v>
      </c>
      <c r="L238" s="54">
        <v>1</v>
      </c>
      <c r="M238" s="59">
        <f t="shared" si="11"/>
        <v>63270</v>
      </c>
    </row>
    <row r="239" spans="1:15" x14ac:dyDescent="0.25">
      <c r="A239" s="39" t="s">
        <v>533</v>
      </c>
      <c r="B239" s="46" t="s">
        <v>280</v>
      </c>
      <c r="C239" s="39" t="s">
        <v>465</v>
      </c>
      <c r="D239" s="102">
        <v>350104448</v>
      </c>
      <c r="E239" s="102">
        <v>9193883356</v>
      </c>
      <c r="F239" s="39" t="s">
        <v>256</v>
      </c>
      <c r="G239" s="81">
        <f>34983+(364+182)</f>
        <v>35529</v>
      </c>
      <c r="H239" s="50" t="str">
        <f t="shared" si="9"/>
        <v>Apr</v>
      </c>
      <c r="I239" s="51">
        <f t="shared" ca="1" si="10"/>
        <v>19</v>
      </c>
      <c r="J239" s="52" t="s">
        <v>267</v>
      </c>
      <c r="K239" s="53">
        <v>44920</v>
      </c>
      <c r="L239" s="54">
        <v>1</v>
      </c>
      <c r="M239" s="59">
        <f t="shared" si="11"/>
        <v>44920</v>
      </c>
    </row>
    <row r="240" spans="1:15" x14ac:dyDescent="0.25">
      <c r="A240" s="39" t="s">
        <v>798</v>
      </c>
      <c r="B240" s="46" t="s">
        <v>245</v>
      </c>
      <c r="C240" s="39" t="s">
        <v>767</v>
      </c>
      <c r="D240" s="102">
        <v>643979374</v>
      </c>
      <c r="E240" s="102">
        <v>2521230519</v>
      </c>
      <c r="F240" s="39" t="s">
        <v>247</v>
      </c>
      <c r="G240" s="81">
        <f>34995+(364+182)</f>
        <v>35541</v>
      </c>
      <c r="H240" s="50" t="str">
        <f t="shared" si="9"/>
        <v>Apr</v>
      </c>
      <c r="I240" s="51">
        <f t="shared" ca="1" si="10"/>
        <v>19</v>
      </c>
      <c r="J240" s="52"/>
      <c r="K240" s="53">
        <v>49530</v>
      </c>
      <c r="L240" s="54">
        <v>4</v>
      </c>
      <c r="M240" s="59">
        <f t="shared" si="11"/>
        <v>49530</v>
      </c>
    </row>
    <row r="241" spans="1:34" x14ac:dyDescent="0.25">
      <c r="A241" s="39" t="s">
        <v>663</v>
      </c>
      <c r="B241" s="46" t="s">
        <v>285</v>
      </c>
      <c r="C241" s="39" t="s">
        <v>626</v>
      </c>
      <c r="D241" s="102">
        <v>983891302</v>
      </c>
      <c r="E241" s="102">
        <v>9191462245</v>
      </c>
      <c r="F241" s="39" t="s">
        <v>256</v>
      </c>
      <c r="G241" s="81">
        <f>35001+(364+182)</f>
        <v>35547</v>
      </c>
      <c r="H241" s="50" t="str">
        <f t="shared" si="9"/>
        <v>Apr</v>
      </c>
      <c r="I241" s="51">
        <f t="shared" ca="1" si="10"/>
        <v>19</v>
      </c>
      <c r="J241" s="52" t="s">
        <v>257</v>
      </c>
      <c r="K241" s="53">
        <v>81640</v>
      </c>
      <c r="L241" s="54">
        <v>4</v>
      </c>
      <c r="M241" s="59">
        <f t="shared" si="11"/>
        <v>81640</v>
      </c>
    </row>
    <row r="242" spans="1:34" s="84" customFormat="1" x14ac:dyDescent="0.25">
      <c r="A242" s="39" t="s">
        <v>886</v>
      </c>
      <c r="B242" s="46" t="s">
        <v>285</v>
      </c>
      <c r="C242" s="39" t="s">
        <v>856</v>
      </c>
      <c r="D242" s="102">
        <v>331251341</v>
      </c>
      <c r="E242" s="102">
        <v>2528678875</v>
      </c>
      <c r="F242" s="39" t="s">
        <v>256</v>
      </c>
      <c r="G242" s="81">
        <f>35350+(364+182)</f>
        <v>35896</v>
      </c>
      <c r="H242" s="50" t="str">
        <f t="shared" si="9"/>
        <v>Apr</v>
      </c>
      <c r="I242" s="51">
        <f t="shared" ca="1" si="10"/>
        <v>18</v>
      </c>
      <c r="J242" s="52" t="s">
        <v>283</v>
      </c>
      <c r="K242" s="53">
        <v>70280</v>
      </c>
      <c r="L242" s="54">
        <v>3</v>
      </c>
      <c r="M242" s="59">
        <f t="shared" si="11"/>
        <v>70280</v>
      </c>
      <c r="N242" s="100"/>
      <c r="O242" s="45"/>
      <c r="P242" s="39"/>
      <c r="Q242" s="39"/>
      <c r="R242" s="39"/>
      <c r="S242" s="39"/>
      <c r="T242" s="39"/>
      <c r="U242" s="39"/>
      <c r="V242" s="39"/>
      <c r="W242" s="39"/>
      <c r="X242" s="39"/>
      <c r="Y242" s="39"/>
      <c r="Z242" s="39"/>
      <c r="AA242" s="39"/>
      <c r="AB242" s="39"/>
      <c r="AC242" s="39"/>
      <c r="AD242" s="39"/>
      <c r="AE242" s="39"/>
      <c r="AF242" s="39"/>
      <c r="AG242" s="39"/>
      <c r="AH242" s="39"/>
    </row>
    <row r="243" spans="1:34" s="84" customFormat="1" x14ac:dyDescent="0.25">
      <c r="A243" s="39" t="s">
        <v>336</v>
      </c>
      <c r="B243" s="46" t="s">
        <v>271</v>
      </c>
      <c r="C243" s="39" t="s">
        <v>312</v>
      </c>
      <c r="D243" s="102">
        <v>504735443</v>
      </c>
      <c r="E243" s="102">
        <v>9191629556</v>
      </c>
      <c r="F243" s="39" t="s">
        <v>247</v>
      </c>
      <c r="G243" s="81">
        <f>35356+(364+182)</f>
        <v>35902</v>
      </c>
      <c r="H243" s="50" t="str">
        <f t="shared" si="9"/>
        <v>Apr</v>
      </c>
      <c r="I243" s="51">
        <f t="shared" ca="1" si="10"/>
        <v>18</v>
      </c>
      <c r="J243" s="52"/>
      <c r="K243" s="53">
        <v>63340</v>
      </c>
      <c r="L243" s="54">
        <v>3</v>
      </c>
      <c r="M243" s="59">
        <f t="shared" si="11"/>
        <v>63340</v>
      </c>
      <c r="N243" s="100"/>
      <c r="O243" s="45"/>
      <c r="P243" s="39"/>
      <c r="Q243" s="39"/>
      <c r="R243" s="39"/>
      <c r="S243" s="39"/>
      <c r="T243" s="39"/>
      <c r="U243" s="39"/>
      <c r="V243" s="39"/>
      <c r="W243" s="39"/>
      <c r="X243" s="39"/>
      <c r="Y243" s="39"/>
      <c r="Z243" s="39"/>
      <c r="AA243" s="39"/>
      <c r="AB243" s="39"/>
      <c r="AC243" s="39"/>
      <c r="AD243" s="39"/>
      <c r="AE243" s="39"/>
      <c r="AF243" s="39"/>
      <c r="AG243" s="39"/>
      <c r="AH243" s="39"/>
    </row>
    <row r="244" spans="1:34" s="84" customFormat="1" x14ac:dyDescent="0.25">
      <c r="A244" s="39" t="s">
        <v>718</v>
      </c>
      <c r="B244" s="46" t="s">
        <v>285</v>
      </c>
      <c r="C244" s="39" t="s">
        <v>705</v>
      </c>
      <c r="D244" s="102">
        <v>248820119</v>
      </c>
      <c r="E244" s="102">
        <v>2521711684</v>
      </c>
      <c r="F244" s="39" t="s">
        <v>256</v>
      </c>
      <c r="G244" s="81">
        <f>35357+(364+182)</f>
        <v>35903</v>
      </c>
      <c r="H244" s="50" t="str">
        <f t="shared" si="9"/>
        <v>Apr</v>
      </c>
      <c r="I244" s="51">
        <f t="shared" ca="1" si="10"/>
        <v>18</v>
      </c>
      <c r="J244" s="52" t="s">
        <v>257</v>
      </c>
      <c r="K244" s="53">
        <v>68520</v>
      </c>
      <c r="L244" s="54">
        <v>5</v>
      </c>
      <c r="M244" s="59">
        <f t="shared" si="11"/>
        <v>68520</v>
      </c>
      <c r="N244" s="100"/>
      <c r="O244" s="45"/>
      <c r="P244" s="39"/>
      <c r="Q244" s="39"/>
      <c r="R244" s="39"/>
      <c r="S244" s="39"/>
      <c r="T244" s="39"/>
      <c r="U244" s="39"/>
      <c r="V244" s="39"/>
      <c r="W244" s="39"/>
      <c r="X244" s="39"/>
      <c r="Y244" s="39"/>
      <c r="Z244" s="39"/>
      <c r="AA244" s="39"/>
      <c r="AB244" s="39"/>
      <c r="AC244" s="39"/>
      <c r="AD244" s="39"/>
      <c r="AE244" s="39"/>
      <c r="AF244" s="39"/>
      <c r="AG244" s="39"/>
      <c r="AH244" s="39"/>
    </row>
    <row r="245" spans="1:34" s="84" customFormat="1" x14ac:dyDescent="0.25">
      <c r="A245" s="39" t="s">
        <v>292</v>
      </c>
      <c r="B245" s="46" t="s">
        <v>285</v>
      </c>
      <c r="C245" s="39" t="s">
        <v>272</v>
      </c>
      <c r="D245" s="102">
        <v>542051793</v>
      </c>
      <c r="E245" s="102">
        <v>2527317354</v>
      </c>
      <c r="F245" s="39" t="s">
        <v>256</v>
      </c>
      <c r="G245" s="81">
        <f>35714+(364+182)</f>
        <v>36260</v>
      </c>
      <c r="H245" s="50" t="str">
        <f t="shared" si="9"/>
        <v>Apr</v>
      </c>
      <c r="I245" s="51">
        <f t="shared" ca="1" si="10"/>
        <v>17</v>
      </c>
      <c r="J245" s="52" t="s">
        <v>257</v>
      </c>
      <c r="K245" s="53">
        <v>75150</v>
      </c>
      <c r="L245" s="54">
        <v>1</v>
      </c>
      <c r="M245" s="59">
        <f t="shared" si="11"/>
        <v>75150</v>
      </c>
      <c r="N245" s="100"/>
      <c r="O245" s="45"/>
      <c r="P245" s="39"/>
      <c r="Q245" s="39"/>
      <c r="R245" s="39"/>
      <c r="S245" s="39"/>
      <c r="T245" s="39"/>
      <c r="U245" s="39"/>
      <c r="V245" s="39"/>
      <c r="W245" s="39"/>
      <c r="X245" s="39"/>
      <c r="Y245" s="39"/>
      <c r="Z245" s="39"/>
      <c r="AA245" s="39"/>
      <c r="AB245" s="39"/>
      <c r="AC245" s="39"/>
      <c r="AD245" s="39"/>
      <c r="AE245" s="39"/>
      <c r="AF245" s="39"/>
      <c r="AG245" s="39"/>
      <c r="AH245" s="39"/>
    </row>
    <row r="246" spans="1:34" s="84" customFormat="1" x14ac:dyDescent="0.25">
      <c r="A246" s="39" t="s">
        <v>436</v>
      </c>
      <c r="B246" s="46" t="s">
        <v>280</v>
      </c>
      <c r="C246" s="39" t="s">
        <v>417</v>
      </c>
      <c r="D246" s="102">
        <v>279591317</v>
      </c>
      <c r="E246" s="102">
        <v>2522381391</v>
      </c>
      <c r="F246" s="39" t="s">
        <v>252</v>
      </c>
      <c r="G246" s="81">
        <f>35717+(364+182)</f>
        <v>36263</v>
      </c>
      <c r="H246" s="50" t="str">
        <f t="shared" si="9"/>
        <v>Apr</v>
      </c>
      <c r="I246" s="51">
        <f t="shared" ca="1" si="10"/>
        <v>17</v>
      </c>
      <c r="J246" s="52"/>
      <c r="K246" s="53">
        <v>38768</v>
      </c>
      <c r="L246" s="54">
        <v>4</v>
      </c>
      <c r="M246" s="59">
        <f t="shared" si="11"/>
        <v>38768</v>
      </c>
      <c r="N246" s="100"/>
      <c r="O246" s="45"/>
      <c r="P246" s="39"/>
      <c r="Q246" s="39"/>
      <c r="R246" s="39"/>
      <c r="S246" s="39"/>
      <c r="T246" s="39"/>
      <c r="U246" s="39"/>
      <c r="V246" s="39"/>
      <c r="W246" s="39"/>
      <c r="X246" s="39"/>
      <c r="Y246" s="39"/>
      <c r="Z246" s="39"/>
      <c r="AA246" s="39"/>
      <c r="AB246" s="39"/>
      <c r="AC246" s="39"/>
      <c r="AD246" s="39"/>
      <c r="AE246" s="39"/>
      <c r="AF246" s="39"/>
      <c r="AG246" s="39"/>
      <c r="AH246" s="39"/>
    </row>
    <row r="247" spans="1:34" s="84" customFormat="1" x14ac:dyDescent="0.25">
      <c r="A247" s="39" t="s">
        <v>409</v>
      </c>
      <c r="B247" s="46" t="s">
        <v>285</v>
      </c>
      <c r="C247" s="39" t="s">
        <v>391</v>
      </c>
      <c r="D247" s="102">
        <v>694800128</v>
      </c>
      <c r="E247" s="102">
        <v>9197111802</v>
      </c>
      <c r="F247" s="39" t="s">
        <v>256</v>
      </c>
      <c r="G247" s="81">
        <f>35723+(364+182)</f>
        <v>36269</v>
      </c>
      <c r="H247" s="50" t="str">
        <f t="shared" si="9"/>
        <v>Apr</v>
      </c>
      <c r="I247" s="51">
        <f t="shared" ca="1" si="10"/>
        <v>17</v>
      </c>
      <c r="J247" s="52" t="s">
        <v>283</v>
      </c>
      <c r="K247" s="53">
        <v>61330</v>
      </c>
      <c r="L247" s="54">
        <v>1</v>
      </c>
      <c r="M247" s="59">
        <f t="shared" si="11"/>
        <v>61330</v>
      </c>
      <c r="N247" s="100"/>
      <c r="O247" s="45"/>
      <c r="P247" s="39"/>
      <c r="Q247" s="39"/>
      <c r="R247" s="39"/>
      <c r="S247" s="39"/>
      <c r="T247" s="39"/>
      <c r="U247" s="39"/>
      <c r="V247" s="39"/>
      <c r="W247" s="39"/>
      <c r="X247" s="39"/>
      <c r="Y247" s="39"/>
      <c r="Z247" s="39"/>
      <c r="AA247" s="39"/>
      <c r="AB247" s="39"/>
      <c r="AC247" s="39"/>
      <c r="AD247" s="39"/>
      <c r="AE247" s="39"/>
      <c r="AF247" s="39"/>
      <c r="AG247" s="39"/>
      <c r="AH247" s="39"/>
    </row>
    <row r="248" spans="1:34" s="84" customFormat="1" x14ac:dyDescent="0.25">
      <c r="A248" s="39" t="s">
        <v>517</v>
      </c>
      <c r="B248" s="46" t="s">
        <v>271</v>
      </c>
      <c r="C248" s="39" t="s">
        <v>465</v>
      </c>
      <c r="D248" s="102">
        <v>984570981</v>
      </c>
      <c r="E248" s="102">
        <v>2528155179</v>
      </c>
      <c r="F248" s="39" t="s">
        <v>261</v>
      </c>
      <c r="G248" s="81">
        <f>35723+(364+182)</f>
        <v>36269</v>
      </c>
      <c r="H248" s="50" t="str">
        <f t="shared" si="9"/>
        <v>Apr</v>
      </c>
      <c r="I248" s="51">
        <f t="shared" ca="1" si="10"/>
        <v>17</v>
      </c>
      <c r="J248" s="52" t="s">
        <v>283</v>
      </c>
      <c r="K248" s="53">
        <v>48190</v>
      </c>
      <c r="L248" s="54">
        <v>1</v>
      </c>
      <c r="M248" s="59">
        <f t="shared" si="11"/>
        <v>48190</v>
      </c>
      <c r="N248" s="100"/>
      <c r="O248" s="45"/>
      <c r="P248" s="39"/>
      <c r="Q248" s="39"/>
      <c r="R248" s="39"/>
      <c r="S248" s="39"/>
      <c r="T248" s="39"/>
      <c r="U248" s="39"/>
      <c r="V248" s="39"/>
      <c r="W248" s="39"/>
      <c r="X248" s="39"/>
      <c r="Y248" s="39"/>
      <c r="Z248" s="39"/>
      <c r="AA248" s="39"/>
      <c r="AB248" s="39"/>
      <c r="AC248" s="39"/>
      <c r="AD248" s="39"/>
      <c r="AE248" s="39"/>
      <c r="AF248" s="39"/>
      <c r="AG248" s="39"/>
      <c r="AH248" s="39"/>
    </row>
    <row r="249" spans="1:34" s="84" customFormat="1" x14ac:dyDescent="0.25">
      <c r="A249" s="39" t="s">
        <v>616</v>
      </c>
      <c r="B249" s="46" t="s">
        <v>271</v>
      </c>
      <c r="C249" s="39" t="s">
        <v>465</v>
      </c>
      <c r="D249" s="102">
        <v>931105030</v>
      </c>
      <c r="E249" s="102">
        <v>9191397811</v>
      </c>
      <c r="F249" s="39" t="s">
        <v>256</v>
      </c>
      <c r="G249" s="81">
        <f>35727+(364+182)</f>
        <v>36273</v>
      </c>
      <c r="H249" s="50" t="str">
        <f t="shared" si="9"/>
        <v>Apr</v>
      </c>
      <c r="I249" s="51">
        <f t="shared" ca="1" si="10"/>
        <v>17</v>
      </c>
      <c r="J249" s="52" t="s">
        <v>283</v>
      </c>
      <c r="K249" s="53">
        <v>61330</v>
      </c>
      <c r="L249" s="54">
        <v>4</v>
      </c>
      <c r="M249" s="59">
        <f t="shared" si="11"/>
        <v>61330</v>
      </c>
      <c r="N249" s="100"/>
      <c r="O249" s="45"/>
      <c r="P249" s="39"/>
      <c r="Q249" s="39"/>
      <c r="R249" s="39"/>
      <c r="S249" s="39"/>
      <c r="T249" s="39"/>
      <c r="U249" s="39"/>
      <c r="V249" s="39"/>
      <c r="W249" s="39"/>
      <c r="X249" s="39"/>
      <c r="Y249" s="39"/>
      <c r="Z249" s="39"/>
      <c r="AA249" s="39"/>
      <c r="AB249" s="39"/>
      <c r="AC249" s="39"/>
      <c r="AD249" s="39"/>
      <c r="AE249" s="39"/>
      <c r="AF249" s="39"/>
      <c r="AG249" s="39"/>
      <c r="AH249" s="39"/>
    </row>
    <row r="250" spans="1:34" s="84" customFormat="1" x14ac:dyDescent="0.25">
      <c r="A250" s="39" t="s">
        <v>297</v>
      </c>
      <c r="B250" s="46" t="s">
        <v>245</v>
      </c>
      <c r="C250" s="39" t="s">
        <v>296</v>
      </c>
      <c r="D250" s="102">
        <v>515543972</v>
      </c>
      <c r="E250" s="102">
        <v>9193539483</v>
      </c>
      <c r="F250" s="39" t="s">
        <v>256</v>
      </c>
      <c r="G250" s="81">
        <f>36073+(364+182)</f>
        <v>36619</v>
      </c>
      <c r="H250" s="50" t="str">
        <f t="shared" si="9"/>
        <v>Apr</v>
      </c>
      <c r="I250" s="51">
        <f t="shared" ca="1" si="10"/>
        <v>16</v>
      </c>
      <c r="J250" s="52" t="s">
        <v>267</v>
      </c>
      <c r="K250" s="53">
        <v>56440</v>
      </c>
      <c r="L250" s="54">
        <v>1</v>
      </c>
      <c r="M250" s="59">
        <f t="shared" si="11"/>
        <v>56440</v>
      </c>
      <c r="N250" s="100"/>
      <c r="O250" s="45"/>
      <c r="P250" s="39"/>
      <c r="Q250" s="39"/>
      <c r="R250" s="39"/>
      <c r="S250" s="39"/>
      <c r="T250" s="39"/>
      <c r="U250" s="39"/>
      <c r="V250" s="39"/>
      <c r="W250" s="39"/>
      <c r="X250" s="39"/>
      <c r="Y250" s="39"/>
      <c r="Z250" s="39"/>
      <c r="AA250" s="39"/>
      <c r="AB250" s="39"/>
      <c r="AC250" s="39"/>
      <c r="AD250" s="39"/>
      <c r="AE250" s="39"/>
      <c r="AF250" s="39"/>
      <c r="AG250" s="39"/>
      <c r="AH250" s="39"/>
    </row>
    <row r="251" spans="1:34" s="84" customFormat="1" x14ac:dyDescent="0.25">
      <c r="A251" s="39" t="s">
        <v>1020</v>
      </c>
      <c r="B251" s="46" t="s">
        <v>285</v>
      </c>
      <c r="C251" s="39" t="s">
        <v>930</v>
      </c>
      <c r="D251" s="102">
        <v>186346711</v>
      </c>
      <c r="E251" s="102">
        <v>9194900514</v>
      </c>
      <c r="F251" s="39" t="s">
        <v>256</v>
      </c>
      <c r="G251" s="81">
        <f>36073+(364+182)</f>
        <v>36619</v>
      </c>
      <c r="H251" s="50" t="str">
        <f t="shared" si="9"/>
        <v>Apr</v>
      </c>
      <c r="I251" s="51">
        <f t="shared" ca="1" si="10"/>
        <v>16</v>
      </c>
      <c r="J251" s="52" t="s">
        <v>262</v>
      </c>
      <c r="K251" s="53">
        <v>71970</v>
      </c>
      <c r="L251" s="54">
        <v>4</v>
      </c>
      <c r="M251" s="59">
        <f t="shared" si="11"/>
        <v>71970</v>
      </c>
      <c r="N251" s="100"/>
      <c r="O251" s="45"/>
      <c r="P251" s="39"/>
      <c r="Q251" s="39"/>
      <c r="R251" s="39"/>
      <c r="S251" s="39"/>
      <c r="T251" s="39"/>
      <c r="U251" s="39"/>
      <c r="V251" s="39"/>
      <c r="W251" s="39"/>
      <c r="X251" s="39"/>
      <c r="Y251" s="39"/>
      <c r="Z251" s="39"/>
      <c r="AA251" s="39"/>
      <c r="AB251" s="39"/>
      <c r="AC251" s="39"/>
      <c r="AD251" s="39"/>
      <c r="AE251" s="39"/>
      <c r="AF251" s="39"/>
      <c r="AG251" s="39"/>
      <c r="AH251" s="39"/>
    </row>
    <row r="252" spans="1:34" s="84" customFormat="1" x14ac:dyDescent="0.25">
      <c r="A252" s="39" t="s">
        <v>735</v>
      </c>
      <c r="B252" s="46" t="s">
        <v>271</v>
      </c>
      <c r="C252" s="39" t="s">
        <v>705</v>
      </c>
      <c r="D252" s="102">
        <v>960967007</v>
      </c>
      <c r="E252" s="102">
        <v>9194694995</v>
      </c>
      <c r="F252" s="39" t="s">
        <v>247</v>
      </c>
      <c r="G252" s="81">
        <f>36077+(364+182)</f>
        <v>36623</v>
      </c>
      <c r="H252" s="50" t="str">
        <f t="shared" si="9"/>
        <v>Apr</v>
      </c>
      <c r="I252" s="51">
        <f t="shared" ca="1" si="10"/>
        <v>16</v>
      </c>
      <c r="J252" s="52"/>
      <c r="K252" s="53">
        <v>30300</v>
      </c>
      <c r="L252" s="54">
        <v>1</v>
      </c>
      <c r="M252" s="59">
        <f t="shared" si="11"/>
        <v>30300</v>
      </c>
      <c r="N252" s="100"/>
      <c r="O252" s="45"/>
      <c r="P252" s="39"/>
      <c r="Q252" s="39"/>
      <c r="R252" s="39"/>
      <c r="S252" s="39"/>
      <c r="T252" s="39"/>
      <c r="U252" s="39"/>
      <c r="V252" s="39"/>
      <c r="W252" s="39"/>
      <c r="X252" s="39"/>
      <c r="Y252" s="39"/>
      <c r="Z252" s="39"/>
      <c r="AA252" s="39"/>
      <c r="AB252" s="39"/>
      <c r="AC252" s="39"/>
      <c r="AD252" s="39"/>
      <c r="AE252" s="39"/>
      <c r="AF252" s="39"/>
      <c r="AG252" s="39"/>
      <c r="AH252" s="39"/>
    </row>
    <row r="253" spans="1:34" s="84" customFormat="1" x14ac:dyDescent="0.25">
      <c r="A253" s="39" t="s">
        <v>594</v>
      </c>
      <c r="B253" s="46" t="s">
        <v>271</v>
      </c>
      <c r="C253" s="39" t="s">
        <v>465</v>
      </c>
      <c r="D253" s="102">
        <v>257249459</v>
      </c>
      <c r="E253" s="102">
        <v>9197775023</v>
      </c>
      <c r="F253" s="39" t="s">
        <v>247</v>
      </c>
      <c r="G253" s="81">
        <f>36091+(364+182)</f>
        <v>36637</v>
      </c>
      <c r="H253" s="50" t="str">
        <f t="shared" si="9"/>
        <v>Apr</v>
      </c>
      <c r="I253" s="51">
        <f t="shared" ca="1" si="10"/>
        <v>16</v>
      </c>
      <c r="J253" s="52"/>
      <c r="K253" s="53">
        <v>57600</v>
      </c>
      <c r="L253" s="54">
        <v>3</v>
      </c>
      <c r="M253" s="59">
        <f t="shared" si="11"/>
        <v>57600</v>
      </c>
      <c r="N253" s="100"/>
      <c r="O253" s="45"/>
      <c r="P253" s="39"/>
      <c r="Q253" s="39"/>
      <c r="R253" s="39"/>
      <c r="S253" s="39"/>
      <c r="T253" s="39"/>
      <c r="U253" s="39"/>
      <c r="V253" s="39"/>
      <c r="W253" s="39"/>
      <c r="X253" s="39"/>
      <c r="Y253" s="39"/>
      <c r="Z253" s="39"/>
      <c r="AA253" s="39"/>
      <c r="AB253" s="39"/>
      <c r="AC253" s="39"/>
      <c r="AD253" s="39"/>
      <c r="AE253" s="39"/>
      <c r="AF253" s="39"/>
      <c r="AG253" s="39"/>
      <c r="AH253" s="39"/>
    </row>
    <row r="254" spans="1:34" s="84" customFormat="1" x14ac:dyDescent="0.25">
      <c r="A254" s="39" t="s">
        <v>882</v>
      </c>
      <c r="B254" s="46" t="s">
        <v>271</v>
      </c>
      <c r="C254" s="39" t="s">
        <v>856</v>
      </c>
      <c r="D254" s="102">
        <v>975857784</v>
      </c>
      <c r="E254" s="102">
        <v>9192390604</v>
      </c>
      <c r="F254" s="39" t="s">
        <v>247</v>
      </c>
      <c r="G254" s="81">
        <f>36096+(364+182)</f>
        <v>36642</v>
      </c>
      <c r="H254" s="50" t="str">
        <f t="shared" si="9"/>
        <v>Apr</v>
      </c>
      <c r="I254" s="51">
        <f t="shared" ca="1" si="10"/>
        <v>16</v>
      </c>
      <c r="J254" s="52"/>
      <c r="K254" s="53">
        <v>77760</v>
      </c>
      <c r="L254" s="54">
        <v>3</v>
      </c>
      <c r="M254" s="59">
        <f t="shared" si="11"/>
        <v>77760</v>
      </c>
      <c r="N254" s="100"/>
      <c r="O254" s="45"/>
      <c r="P254" s="39"/>
      <c r="Q254" s="39"/>
      <c r="R254" s="39"/>
      <c r="S254" s="39"/>
      <c r="T254" s="39"/>
      <c r="U254" s="39"/>
      <c r="V254" s="39"/>
      <c r="W254" s="39"/>
      <c r="X254" s="39"/>
      <c r="Y254" s="39"/>
      <c r="Z254" s="39"/>
      <c r="AA254" s="39"/>
      <c r="AB254" s="39"/>
      <c r="AC254" s="39"/>
      <c r="AD254" s="39"/>
      <c r="AE254" s="39"/>
      <c r="AF254" s="39"/>
      <c r="AG254" s="39"/>
      <c r="AH254" s="39"/>
    </row>
    <row r="255" spans="1:34" s="84" customFormat="1" x14ac:dyDescent="0.25">
      <c r="A255" s="39" t="s">
        <v>433</v>
      </c>
      <c r="B255" s="46" t="s">
        <v>245</v>
      </c>
      <c r="C255" s="39" t="s">
        <v>417</v>
      </c>
      <c r="D255" s="102">
        <v>429283827</v>
      </c>
      <c r="E255" s="102">
        <v>9195508095</v>
      </c>
      <c r="F255" s="39" t="s">
        <v>256</v>
      </c>
      <c r="G255" s="81">
        <f>36097+(364+182)</f>
        <v>36643</v>
      </c>
      <c r="H255" s="50" t="str">
        <f t="shared" si="9"/>
        <v>Apr</v>
      </c>
      <c r="I255" s="51">
        <f t="shared" ca="1" si="10"/>
        <v>16</v>
      </c>
      <c r="J255" s="52" t="s">
        <v>283</v>
      </c>
      <c r="K255" s="53">
        <v>71380</v>
      </c>
      <c r="L255" s="54">
        <v>2</v>
      </c>
      <c r="M255" s="59">
        <f t="shared" si="11"/>
        <v>71380</v>
      </c>
      <c r="N255" s="100"/>
      <c r="O255" s="45"/>
      <c r="P255" s="39"/>
      <c r="Q255" s="39"/>
      <c r="R255" s="39"/>
      <c r="S255" s="39"/>
      <c r="T255" s="39"/>
      <c r="U255" s="39"/>
      <c r="V255" s="39"/>
      <c r="W255" s="39"/>
      <c r="X255" s="39"/>
      <c r="Y255" s="39"/>
      <c r="Z255" s="39"/>
      <c r="AA255" s="39"/>
      <c r="AB255" s="39"/>
      <c r="AC255" s="39"/>
      <c r="AD255" s="39"/>
      <c r="AE255" s="39"/>
      <c r="AF255" s="39"/>
      <c r="AG255" s="39"/>
      <c r="AH255" s="39"/>
    </row>
    <row r="256" spans="1:34" s="84" customFormat="1" x14ac:dyDescent="0.25">
      <c r="A256" s="39" t="s">
        <v>1028</v>
      </c>
      <c r="B256" s="46" t="s">
        <v>271</v>
      </c>
      <c r="C256" s="39" t="s">
        <v>1025</v>
      </c>
      <c r="D256" s="102">
        <v>510700395</v>
      </c>
      <c r="E256" s="102">
        <v>9196690862</v>
      </c>
      <c r="F256" s="39" t="s">
        <v>256</v>
      </c>
      <c r="G256" s="81">
        <f>36445+(364+182)</f>
        <v>36991</v>
      </c>
      <c r="H256" s="50" t="str">
        <f t="shared" si="9"/>
        <v>Apr</v>
      </c>
      <c r="I256" s="51">
        <f t="shared" ca="1" si="10"/>
        <v>15</v>
      </c>
      <c r="J256" s="52" t="s">
        <v>257</v>
      </c>
      <c r="K256" s="53">
        <v>63670</v>
      </c>
      <c r="L256" s="54">
        <v>5</v>
      </c>
      <c r="M256" s="59">
        <f t="shared" si="11"/>
        <v>63670</v>
      </c>
      <c r="N256" s="100"/>
      <c r="O256" s="45"/>
      <c r="P256" s="39"/>
      <c r="Q256" s="39"/>
      <c r="R256" s="39"/>
      <c r="S256" s="39"/>
      <c r="T256" s="39"/>
      <c r="U256" s="39"/>
      <c r="V256" s="39"/>
      <c r="W256" s="39"/>
      <c r="X256" s="39"/>
      <c r="Y256" s="39"/>
      <c r="Z256" s="39"/>
      <c r="AA256" s="39"/>
      <c r="AB256" s="39"/>
      <c r="AC256" s="39"/>
      <c r="AD256" s="39"/>
      <c r="AE256" s="39"/>
      <c r="AF256" s="39"/>
      <c r="AG256" s="39"/>
      <c r="AH256" s="39"/>
    </row>
    <row r="257" spans="1:34" s="84" customFormat="1" x14ac:dyDescent="0.25">
      <c r="A257" s="39" t="s">
        <v>356</v>
      </c>
      <c r="B257" s="46" t="s">
        <v>285</v>
      </c>
      <c r="C257" s="39" t="s">
        <v>312</v>
      </c>
      <c r="D257" s="102">
        <v>411058865</v>
      </c>
      <c r="E257" s="102">
        <v>2523883919</v>
      </c>
      <c r="F257" s="39" t="s">
        <v>256</v>
      </c>
      <c r="G257" s="81">
        <f>36462+(364+182)</f>
        <v>37008</v>
      </c>
      <c r="H257" s="50" t="str">
        <f t="shared" si="9"/>
        <v>Apr</v>
      </c>
      <c r="I257" s="51">
        <f t="shared" ca="1" si="10"/>
        <v>15</v>
      </c>
      <c r="J257" s="52" t="s">
        <v>257</v>
      </c>
      <c r="K257" s="53">
        <v>27180</v>
      </c>
      <c r="L257" s="54">
        <v>4</v>
      </c>
      <c r="M257" s="59">
        <f t="shared" si="11"/>
        <v>27180</v>
      </c>
      <c r="N257" s="100"/>
      <c r="O257" s="45"/>
      <c r="P257" s="39"/>
      <c r="Q257" s="39"/>
      <c r="R257" s="39"/>
      <c r="S257" s="39"/>
      <c r="T257" s="39"/>
      <c r="U257" s="39"/>
      <c r="V257" s="39"/>
      <c r="W257" s="39"/>
      <c r="X257" s="39"/>
      <c r="Y257" s="39"/>
      <c r="Z257" s="39"/>
      <c r="AA257" s="39"/>
      <c r="AB257" s="39"/>
      <c r="AC257" s="39"/>
      <c r="AD257" s="39"/>
      <c r="AE257" s="39"/>
      <c r="AF257" s="39"/>
      <c r="AG257" s="39"/>
      <c r="AH257" s="39"/>
    </row>
    <row r="258" spans="1:34" s="84" customFormat="1" x14ac:dyDescent="0.25">
      <c r="A258" s="39" t="s">
        <v>998</v>
      </c>
      <c r="B258" s="46" t="s">
        <v>251</v>
      </c>
      <c r="C258" s="39" t="s">
        <v>930</v>
      </c>
      <c r="D258" s="102">
        <v>759471070</v>
      </c>
      <c r="E258" s="102">
        <v>2525402828</v>
      </c>
      <c r="F258" s="39" t="s">
        <v>256</v>
      </c>
      <c r="G258" s="81">
        <f>36463+(364+182)</f>
        <v>37009</v>
      </c>
      <c r="H258" s="50" t="str">
        <f t="shared" si="9"/>
        <v>Apr</v>
      </c>
      <c r="I258" s="51">
        <f t="shared" ca="1" si="10"/>
        <v>15</v>
      </c>
      <c r="J258" s="52" t="s">
        <v>283</v>
      </c>
      <c r="K258" s="53">
        <v>78710</v>
      </c>
      <c r="L258" s="54">
        <v>2</v>
      </c>
      <c r="M258" s="59">
        <f t="shared" si="11"/>
        <v>78710</v>
      </c>
      <c r="N258" s="100"/>
      <c r="O258" s="45"/>
      <c r="P258" s="39"/>
      <c r="Q258" s="39"/>
      <c r="R258" s="39"/>
      <c r="S258" s="39"/>
      <c r="T258" s="39"/>
      <c r="U258" s="39"/>
      <c r="V258" s="39"/>
      <c r="W258" s="39"/>
      <c r="X258" s="39"/>
      <c r="Y258" s="39"/>
      <c r="Z258" s="39"/>
      <c r="AA258" s="39"/>
      <c r="AB258" s="39"/>
      <c r="AC258" s="39"/>
      <c r="AD258" s="39"/>
      <c r="AE258" s="39"/>
      <c r="AF258" s="39"/>
      <c r="AG258" s="39"/>
      <c r="AH258" s="39"/>
    </row>
    <row r="259" spans="1:34" s="84" customFormat="1" x14ac:dyDescent="0.25">
      <c r="A259" s="39" t="s">
        <v>329</v>
      </c>
      <c r="B259" s="46" t="s">
        <v>285</v>
      </c>
      <c r="C259" s="39" t="s">
        <v>312</v>
      </c>
      <c r="D259" s="102">
        <v>333947685</v>
      </c>
      <c r="E259" s="102">
        <v>9198314799</v>
      </c>
      <c r="F259" s="39" t="s">
        <v>256</v>
      </c>
      <c r="G259" s="81">
        <f>36802+(364+182)</f>
        <v>37348</v>
      </c>
      <c r="H259" s="50" t="str">
        <f t="shared" ref="H259:H322" si="12">CHOOSE(MONTH(G259),"Jan","Feb","Mar","Apr","May","Jun","Jul","Aug","Sep","Oct","Nov","Dec")</f>
        <v>Apr</v>
      </c>
      <c r="I259" s="51">
        <f t="shared" ref="I259:I322" ca="1" si="13">DATEDIF(G259,TODAY(),"Y")</f>
        <v>14</v>
      </c>
      <c r="J259" s="52" t="s">
        <v>262</v>
      </c>
      <c r="K259" s="53">
        <v>85880</v>
      </c>
      <c r="L259" s="54">
        <v>3</v>
      </c>
      <c r="M259" s="59">
        <f t="shared" ref="M259:M322" si="14">ROUND(K259*P257+K259,0)</f>
        <v>85880</v>
      </c>
      <c r="N259" s="100"/>
      <c r="O259" s="45"/>
      <c r="P259" s="39"/>
      <c r="Q259" s="39"/>
      <c r="R259" s="39"/>
      <c r="S259" s="39"/>
      <c r="T259" s="39"/>
      <c r="U259" s="39"/>
      <c r="V259" s="39"/>
      <c r="W259" s="39"/>
      <c r="X259" s="39"/>
      <c r="Y259" s="39"/>
      <c r="Z259" s="39"/>
      <c r="AA259" s="39"/>
      <c r="AB259" s="39"/>
      <c r="AC259" s="39"/>
      <c r="AD259" s="39"/>
      <c r="AE259" s="39"/>
      <c r="AF259" s="39"/>
      <c r="AG259" s="39"/>
      <c r="AH259" s="39"/>
    </row>
    <row r="260" spans="1:34" s="84" customFormat="1" x14ac:dyDescent="0.25">
      <c r="A260" s="39" t="s">
        <v>506</v>
      </c>
      <c r="B260" s="46" t="s">
        <v>285</v>
      </c>
      <c r="C260" s="39" t="s">
        <v>465</v>
      </c>
      <c r="D260" s="102">
        <v>167058119</v>
      </c>
      <c r="E260" s="102">
        <v>2527237007</v>
      </c>
      <c r="F260" s="39" t="s">
        <v>252</v>
      </c>
      <c r="G260" s="81">
        <f>37184+(364+182)</f>
        <v>37730</v>
      </c>
      <c r="H260" s="50" t="str">
        <f t="shared" si="12"/>
        <v>Apr</v>
      </c>
      <c r="I260" s="51">
        <f t="shared" ca="1" si="13"/>
        <v>13</v>
      </c>
      <c r="J260" s="52"/>
      <c r="K260" s="53">
        <v>8892</v>
      </c>
      <c r="L260" s="54">
        <v>1</v>
      </c>
      <c r="M260" s="59">
        <f t="shared" si="14"/>
        <v>8892</v>
      </c>
      <c r="N260" s="100"/>
      <c r="O260" s="45"/>
      <c r="P260" s="39"/>
      <c r="Q260" s="39"/>
      <c r="R260" s="39"/>
      <c r="S260" s="39"/>
      <c r="T260" s="39"/>
      <c r="U260" s="39"/>
      <c r="V260" s="39"/>
      <c r="W260" s="39"/>
      <c r="X260" s="39"/>
      <c r="Y260" s="39"/>
      <c r="Z260" s="39"/>
      <c r="AA260" s="39"/>
      <c r="AB260" s="39"/>
      <c r="AC260" s="39"/>
      <c r="AD260" s="39"/>
      <c r="AE260" s="39"/>
      <c r="AF260" s="39"/>
      <c r="AG260" s="39"/>
      <c r="AH260" s="39"/>
    </row>
    <row r="261" spans="1:34" s="84" customFormat="1" x14ac:dyDescent="0.25">
      <c r="A261" s="39" t="s">
        <v>525</v>
      </c>
      <c r="B261" s="46" t="s">
        <v>245</v>
      </c>
      <c r="C261" s="39" t="s">
        <v>465</v>
      </c>
      <c r="D261" s="102">
        <v>561968668</v>
      </c>
      <c r="E261" s="102">
        <v>2522433774</v>
      </c>
      <c r="F261" s="39" t="s">
        <v>256</v>
      </c>
      <c r="G261" s="81">
        <f>38263+(364+182)</f>
        <v>38809</v>
      </c>
      <c r="H261" s="50" t="str">
        <f t="shared" si="12"/>
        <v>Apr</v>
      </c>
      <c r="I261" s="51">
        <f t="shared" ca="1" si="13"/>
        <v>10</v>
      </c>
      <c r="J261" s="52" t="s">
        <v>262</v>
      </c>
      <c r="K261" s="53">
        <v>76584</v>
      </c>
      <c r="L261" s="54">
        <v>1</v>
      </c>
      <c r="M261" s="59">
        <f t="shared" si="14"/>
        <v>76584</v>
      </c>
      <c r="N261" s="100"/>
      <c r="O261" s="45"/>
      <c r="P261" s="39"/>
      <c r="Q261" s="39"/>
      <c r="R261" s="39"/>
      <c r="S261" s="39"/>
      <c r="T261" s="39"/>
      <c r="U261" s="39"/>
      <c r="V261" s="39"/>
      <c r="W261" s="39"/>
      <c r="X261" s="39"/>
      <c r="Y261" s="39"/>
      <c r="Z261" s="39"/>
      <c r="AA261" s="39"/>
      <c r="AB261" s="39"/>
      <c r="AC261" s="39"/>
      <c r="AD261" s="39"/>
      <c r="AE261" s="39"/>
      <c r="AF261" s="39"/>
      <c r="AG261" s="39"/>
      <c r="AH261" s="39"/>
    </row>
    <row r="262" spans="1:34" s="84" customFormat="1" x14ac:dyDescent="0.25">
      <c r="A262" s="39" t="s">
        <v>549</v>
      </c>
      <c r="B262" s="46" t="s">
        <v>285</v>
      </c>
      <c r="C262" s="39" t="s">
        <v>465</v>
      </c>
      <c r="D262" s="102">
        <v>914330398</v>
      </c>
      <c r="E262" s="102">
        <v>9193498222</v>
      </c>
      <c r="F262" s="39" t="s">
        <v>256</v>
      </c>
      <c r="G262" s="81">
        <f>38275+(364+182)</f>
        <v>38821</v>
      </c>
      <c r="H262" s="50" t="str">
        <f t="shared" si="12"/>
        <v>Apr</v>
      </c>
      <c r="I262" s="51">
        <f t="shared" ca="1" si="13"/>
        <v>10</v>
      </c>
      <c r="J262" s="52" t="s">
        <v>283</v>
      </c>
      <c r="K262" s="53">
        <v>65720</v>
      </c>
      <c r="L262" s="54">
        <v>1</v>
      </c>
      <c r="M262" s="59">
        <f t="shared" si="14"/>
        <v>65720</v>
      </c>
      <c r="N262" s="100"/>
      <c r="O262" s="45"/>
      <c r="P262" s="39"/>
      <c r="Q262" s="39"/>
      <c r="R262" s="39"/>
      <c r="S262" s="39"/>
      <c r="T262" s="39"/>
      <c r="U262" s="39"/>
      <c r="V262" s="39"/>
      <c r="W262" s="39"/>
      <c r="X262" s="39"/>
      <c r="Y262" s="39"/>
      <c r="Z262" s="39"/>
      <c r="AA262" s="39"/>
      <c r="AB262" s="39"/>
      <c r="AC262" s="39"/>
      <c r="AD262" s="39"/>
      <c r="AE262" s="39"/>
      <c r="AF262" s="39"/>
      <c r="AG262" s="39"/>
      <c r="AH262" s="39"/>
    </row>
    <row r="263" spans="1:34" s="84" customFormat="1" x14ac:dyDescent="0.25">
      <c r="A263" s="39" t="s">
        <v>531</v>
      </c>
      <c r="B263" s="46" t="s">
        <v>285</v>
      </c>
      <c r="C263" s="39" t="s">
        <v>465</v>
      </c>
      <c r="D263" s="102">
        <v>276980518</v>
      </c>
      <c r="E263" s="102">
        <v>9195267252</v>
      </c>
      <c r="F263" s="39" t="s">
        <v>256</v>
      </c>
      <c r="G263" s="81">
        <f>38286+(364+182)</f>
        <v>38832</v>
      </c>
      <c r="H263" s="50" t="str">
        <f t="shared" si="12"/>
        <v>Apr</v>
      </c>
      <c r="I263" s="51">
        <f t="shared" ca="1" si="13"/>
        <v>10</v>
      </c>
      <c r="J263" s="52" t="s">
        <v>276</v>
      </c>
      <c r="K263" s="53">
        <v>29420</v>
      </c>
      <c r="L263" s="54">
        <v>5</v>
      </c>
      <c r="M263" s="59">
        <f t="shared" si="14"/>
        <v>29420</v>
      </c>
      <c r="N263" s="100"/>
      <c r="O263" s="45"/>
      <c r="P263" s="39"/>
      <c r="Q263" s="39"/>
      <c r="R263" s="39"/>
      <c r="S263" s="39"/>
      <c r="T263" s="39"/>
      <c r="U263" s="39"/>
      <c r="V263" s="39"/>
      <c r="W263" s="39"/>
      <c r="X263" s="39"/>
      <c r="Y263" s="39"/>
      <c r="Z263" s="39"/>
      <c r="AA263" s="39"/>
      <c r="AB263" s="39"/>
      <c r="AC263" s="39"/>
      <c r="AD263" s="39"/>
      <c r="AE263" s="39"/>
      <c r="AF263" s="39"/>
      <c r="AG263" s="39"/>
      <c r="AH263" s="39"/>
    </row>
    <row r="264" spans="1:34" s="84" customFormat="1" x14ac:dyDescent="0.25">
      <c r="A264" s="39" t="s">
        <v>557</v>
      </c>
      <c r="B264" s="46" t="s">
        <v>285</v>
      </c>
      <c r="C264" s="39" t="s">
        <v>465</v>
      </c>
      <c r="D264" s="102">
        <v>114005397</v>
      </c>
      <c r="E264" s="102">
        <v>2524694617</v>
      </c>
      <c r="F264" s="39" t="s">
        <v>247</v>
      </c>
      <c r="G264" s="81">
        <f>38643+(364+182)</f>
        <v>39189</v>
      </c>
      <c r="H264" s="50" t="str">
        <f t="shared" si="12"/>
        <v>Apr</v>
      </c>
      <c r="I264" s="51">
        <f t="shared" ca="1" si="13"/>
        <v>9</v>
      </c>
      <c r="J264" s="52"/>
      <c r="K264" s="53">
        <v>63850</v>
      </c>
      <c r="L264" s="54">
        <v>2</v>
      </c>
      <c r="M264" s="59">
        <f t="shared" si="14"/>
        <v>63850</v>
      </c>
      <c r="N264" s="100"/>
      <c r="O264" s="45"/>
      <c r="P264" s="39"/>
      <c r="Q264" s="39"/>
      <c r="R264" s="39"/>
      <c r="S264" s="39"/>
      <c r="T264" s="39"/>
      <c r="U264" s="39"/>
      <c r="V264" s="39"/>
      <c r="W264" s="39"/>
      <c r="X264" s="39"/>
      <c r="Y264" s="39"/>
      <c r="Z264" s="39"/>
      <c r="AA264" s="39"/>
      <c r="AB264" s="39"/>
      <c r="AC264" s="39"/>
      <c r="AD264" s="39"/>
      <c r="AE264" s="39"/>
      <c r="AF264" s="39"/>
      <c r="AG264" s="39"/>
      <c r="AH264" s="39"/>
    </row>
    <row r="265" spans="1:34" s="84" customFormat="1" x14ac:dyDescent="0.25">
      <c r="A265" s="39" t="s">
        <v>574</v>
      </c>
      <c r="B265" s="46" t="s">
        <v>271</v>
      </c>
      <c r="C265" s="39" t="s">
        <v>465</v>
      </c>
      <c r="D265" s="102">
        <v>829216164</v>
      </c>
      <c r="E265" s="102">
        <v>2524982487</v>
      </c>
      <c r="F265" s="39" t="s">
        <v>247</v>
      </c>
      <c r="G265" s="81">
        <f>38999+(364+182)</f>
        <v>39545</v>
      </c>
      <c r="H265" s="50" t="str">
        <f t="shared" si="12"/>
        <v>Apr</v>
      </c>
      <c r="I265" s="51">
        <f t="shared" ca="1" si="13"/>
        <v>8</v>
      </c>
      <c r="J265" s="52"/>
      <c r="K265" s="53">
        <v>84170</v>
      </c>
      <c r="L265" s="54">
        <v>2</v>
      </c>
      <c r="M265" s="59">
        <f t="shared" si="14"/>
        <v>84170</v>
      </c>
      <c r="N265" s="100"/>
      <c r="O265" s="45"/>
      <c r="P265" s="39"/>
      <c r="Q265" s="39"/>
      <c r="R265" s="39"/>
      <c r="S265" s="39"/>
      <c r="T265" s="39"/>
      <c r="U265" s="39"/>
      <c r="V265" s="39"/>
      <c r="W265" s="39"/>
      <c r="X265" s="39"/>
      <c r="Y265" s="39"/>
      <c r="Z265" s="39"/>
      <c r="AA265" s="39"/>
      <c r="AB265" s="39"/>
      <c r="AC265" s="39"/>
      <c r="AD265" s="39"/>
      <c r="AE265" s="39"/>
      <c r="AF265" s="39"/>
      <c r="AG265" s="39"/>
      <c r="AH265" s="39"/>
    </row>
    <row r="266" spans="1:34" s="84" customFormat="1" x14ac:dyDescent="0.25">
      <c r="A266" s="39" t="s">
        <v>363</v>
      </c>
      <c r="B266" s="46" t="s">
        <v>280</v>
      </c>
      <c r="C266" s="39" t="s">
        <v>312</v>
      </c>
      <c r="D266" s="102">
        <v>683222853</v>
      </c>
      <c r="E266" s="102">
        <v>9196224056</v>
      </c>
      <c r="F266" s="39" t="s">
        <v>247</v>
      </c>
      <c r="G266" s="81">
        <f>39376+(364+182)</f>
        <v>39922</v>
      </c>
      <c r="H266" s="50" t="str">
        <f t="shared" si="12"/>
        <v>Apr</v>
      </c>
      <c r="I266" s="51">
        <f t="shared" ca="1" si="13"/>
        <v>7</v>
      </c>
      <c r="J266" s="52"/>
      <c r="K266" s="53">
        <v>25790</v>
      </c>
      <c r="L266" s="54">
        <v>3</v>
      </c>
      <c r="M266" s="59">
        <f t="shared" si="14"/>
        <v>25790</v>
      </c>
      <c r="N266" s="100"/>
      <c r="O266" s="45"/>
      <c r="P266" s="39"/>
      <c r="Q266" s="39"/>
      <c r="R266" s="39"/>
      <c r="S266" s="39"/>
      <c r="T266" s="39"/>
      <c r="U266" s="39"/>
      <c r="V266" s="39"/>
      <c r="W266" s="39"/>
      <c r="X266" s="39"/>
      <c r="Y266" s="39"/>
      <c r="Z266" s="39"/>
      <c r="AA266" s="39"/>
      <c r="AB266" s="39"/>
      <c r="AC266" s="39"/>
      <c r="AD266" s="39"/>
      <c r="AE266" s="39"/>
      <c r="AF266" s="39"/>
      <c r="AG266" s="39"/>
      <c r="AH266" s="39"/>
    </row>
    <row r="267" spans="1:34" s="84" customFormat="1" x14ac:dyDescent="0.25">
      <c r="A267" s="39" t="s">
        <v>376</v>
      </c>
      <c r="B267" s="46" t="s">
        <v>285</v>
      </c>
      <c r="C267" s="39" t="s">
        <v>372</v>
      </c>
      <c r="D267" s="102">
        <v>207506781</v>
      </c>
      <c r="E267" s="102">
        <v>9194125294</v>
      </c>
      <c r="F267" s="39" t="s">
        <v>256</v>
      </c>
      <c r="G267" s="81">
        <f>39377+(364+182)</f>
        <v>39923</v>
      </c>
      <c r="H267" s="50" t="str">
        <f t="shared" si="12"/>
        <v>Apr</v>
      </c>
      <c r="I267" s="51">
        <f t="shared" ca="1" si="13"/>
        <v>7</v>
      </c>
      <c r="J267" s="52" t="s">
        <v>257</v>
      </c>
      <c r="K267" s="53">
        <v>76440</v>
      </c>
      <c r="L267" s="54">
        <v>3</v>
      </c>
      <c r="M267" s="59">
        <f t="shared" si="14"/>
        <v>76440</v>
      </c>
      <c r="N267" s="100"/>
      <c r="O267" s="45"/>
      <c r="P267" s="39"/>
      <c r="Q267" s="39"/>
      <c r="R267" s="39"/>
      <c r="S267" s="39"/>
      <c r="T267" s="39"/>
      <c r="U267" s="39"/>
      <c r="V267" s="39"/>
      <c r="W267" s="39"/>
      <c r="X267" s="39"/>
      <c r="Y267" s="39"/>
      <c r="Z267" s="39"/>
      <c r="AA267" s="39"/>
      <c r="AB267" s="39"/>
      <c r="AC267" s="39"/>
      <c r="AD267" s="39"/>
      <c r="AE267" s="39"/>
      <c r="AF267" s="39"/>
      <c r="AG267" s="39"/>
      <c r="AH267" s="39"/>
    </row>
    <row r="268" spans="1:34" s="84" customFormat="1" x14ac:dyDescent="0.25">
      <c r="A268" s="39" t="s">
        <v>510</v>
      </c>
      <c r="B268" s="46" t="s">
        <v>271</v>
      </c>
      <c r="C268" s="39" t="s">
        <v>465</v>
      </c>
      <c r="D268" s="102">
        <v>527185620</v>
      </c>
      <c r="E268" s="102">
        <v>2524627771</v>
      </c>
      <c r="F268" s="39" t="s">
        <v>256</v>
      </c>
      <c r="G268" s="81">
        <f>39724+(364+182)</f>
        <v>40270</v>
      </c>
      <c r="H268" s="50" t="str">
        <f t="shared" si="12"/>
        <v>Apr</v>
      </c>
      <c r="I268" s="51">
        <f t="shared" ca="1" si="13"/>
        <v>6</v>
      </c>
      <c r="J268" s="52" t="s">
        <v>283</v>
      </c>
      <c r="K268" s="53">
        <v>35300</v>
      </c>
      <c r="L268" s="54">
        <v>5</v>
      </c>
      <c r="M268" s="59">
        <f t="shared" si="14"/>
        <v>35300</v>
      </c>
      <c r="N268" s="100"/>
      <c r="O268" s="45"/>
      <c r="P268" s="39"/>
      <c r="Q268" s="39"/>
      <c r="R268" s="39"/>
      <c r="S268" s="39"/>
      <c r="T268" s="39"/>
      <c r="U268" s="39"/>
      <c r="V268" s="39"/>
      <c r="W268" s="39"/>
      <c r="X268" s="39"/>
      <c r="Y268" s="39"/>
      <c r="Z268" s="39"/>
      <c r="AA268" s="39"/>
      <c r="AB268" s="39"/>
      <c r="AC268" s="39"/>
      <c r="AD268" s="39"/>
      <c r="AE268" s="39"/>
      <c r="AF268" s="39"/>
      <c r="AG268" s="39"/>
      <c r="AH268" s="39"/>
    </row>
    <row r="269" spans="1:34" s="84" customFormat="1" x14ac:dyDescent="0.25">
      <c r="A269" s="39" t="s">
        <v>361</v>
      </c>
      <c r="B269" s="46" t="s">
        <v>271</v>
      </c>
      <c r="C269" s="39" t="s">
        <v>312</v>
      </c>
      <c r="D269" s="102">
        <v>721169660</v>
      </c>
      <c r="E269" s="102">
        <v>2526711140</v>
      </c>
      <c r="F269" s="39" t="s">
        <v>256</v>
      </c>
      <c r="G269" s="81">
        <f>39728+(364+182)</f>
        <v>40274</v>
      </c>
      <c r="H269" s="50" t="str">
        <f t="shared" si="12"/>
        <v>Apr</v>
      </c>
      <c r="I269" s="51">
        <f t="shared" ca="1" si="13"/>
        <v>6</v>
      </c>
      <c r="J269" s="52" t="s">
        <v>262</v>
      </c>
      <c r="K269" s="53">
        <v>38730</v>
      </c>
      <c r="L269" s="54">
        <v>1</v>
      </c>
      <c r="M269" s="59">
        <f t="shared" si="14"/>
        <v>38730</v>
      </c>
      <c r="N269" s="100"/>
      <c r="O269" s="45"/>
      <c r="P269" s="39"/>
      <c r="Q269" s="39"/>
      <c r="R269" s="39"/>
      <c r="S269" s="39"/>
      <c r="T269" s="39"/>
      <c r="U269" s="39"/>
      <c r="V269" s="39"/>
      <c r="W269" s="39"/>
      <c r="X269" s="39"/>
      <c r="Y269" s="39"/>
      <c r="Z269" s="39"/>
      <c r="AA269" s="39"/>
      <c r="AB269" s="39"/>
      <c r="AC269" s="39"/>
      <c r="AD269" s="39"/>
      <c r="AE269" s="39"/>
      <c r="AF269" s="39"/>
      <c r="AG269" s="39"/>
      <c r="AH269" s="39"/>
    </row>
    <row r="270" spans="1:34" s="84" customFormat="1" x14ac:dyDescent="0.25">
      <c r="A270" s="39" t="s">
        <v>359</v>
      </c>
      <c r="B270" s="46" t="s">
        <v>245</v>
      </c>
      <c r="C270" s="39" t="s">
        <v>312</v>
      </c>
      <c r="D270" s="102">
        <v>676534152</v>
      </c>
      <c r="E270" s="102">
        <v>9194416232</v>
      </c>
      <c r="F270" s="39" t="s">
        <v>256</v>
      </c>
      <c r="G270" s="103">
        <f>39746+(364+182)</f>
        <v>40292</v>
      </c>
      <c r="H270" s="50" t="str">
        <f t="shared" si="12"/>
        <v>Apr</v>
      </c>
      <c r="I270" s="51">
        <f t="shared" ca="1" si="13"/>
        <v>6</v>
      </c>
      <c r="J270" s="52" t="s">
        <v>257</v>
      </c>
      <c r="K270" s="53">
        <v>23280</v>
      </c>
      <c r="L270" s="54">
        <v>1</v>
      </c>
      <c r="M270" s="59">
        <f t="shared" si="14"/>
        <v>23280</v>
      </c>
      <c r="N270" s="100"/>
      <c r="O270" s="45"/>
      <c r="P270" s="39"/>
      <c r="Q270" s="39"/>
      <c r="R270" s="39"/>
      <c r="S270" s="39"/>
      <c r="T270" s="39"/>
      <c r="U270" s="39"/>
      <c r="V270" s="39"/>
      <c r="W270" s="39"/>
      <c r="X270" s="39"/>
      <c r="Y270" s="39"/>
      <c r="Z270" s="39"/>
      <c r="AA270" s="39"/>
      <c r="AB270" s="39"/>
      <c r="AC270" s="39"/>
      <c r="AD270" s="39"/>
      <c r="AE270" s="39"/>
      <c r="AF270" s="39"/>
      <c r="AG270" s="39"/>
      <c r="AH270" s="39"/>
    </row>
    <row r="271" spans="1:34" s="84" customFormat="1" x14ac:dyDescent="0.25">
      <c r="A271" s="39" t="s">
        <v>620</v>
      </c>
      <c r="B271" s="46" t="s">
        <v>266</v>
      </c>
      <c r="C271" s="39" t="s">
        <v>618</v>
      </c>
      <c r="D271" s="102">
        <v>380343690</v>
      </c>
      <c r="E271" s="102">
        <v>2523906310</v>
      </c>
      <c r="F271" s="39" t="s">
        <v>247</v>
      </c>
      <c r="G271" s="103">
        <f>39746+(364+182)</f>
        <v>40292</v>
      </c>
      <c r="H271" s="50" t="str">
        <f t="shared" si="12"/>
        <v>Apr</v>
      </c>
      <c r="I271" s="51">
        <f t="shared" ca="1" si="13"/>
        <v>6</v>
      </c>
      <c r="J271" s="52"/>
      <c r="K271" s="53">
        <v>61890</v>
      </c>
      <c r="L271" s="54">
        <v>2</v>
      </c>
      <c r="M271" s="59">
        <f t="shared" si="14"/>
        <v>61890</v>
      </c>
      <c r="N271" s="100"/>
      <c r="O271" s="45"/>
      <c r="P271" s="39"/>
      <c r="Q271" s="39"/>
      <c r="R271" s="39"/>
      <c r="S271" s="39"/>
      <c r="T271" s="39"/>
      <c r="U271" s="39"/>
      <c r="V271" s="39"/>
      <c r="W271" s="39"/>
      <c r="X271" s="39"/>
      <c r="Y271" s="39"/>
      <c r="Z271" s="39"/>
      <c r="AA271" s="39"/>
      <c r="AB271" s="39"/>
      <c r="AC271" s="39"/>
      <c r="AD271" s="39"/>
      <c r="AE271" s="39"/>
      <c r="AF271" s="39"/>
      <c r="AG271" s="39"/>
      <c r="AH271" s="39"/>
    </row>
    <row r="272" spans="1:34" s="84" customFormat="1" x14ac:dyDescent="0.25">
      <c r="A272" s="39" t="s">
        <v>790</v>
      </c>
      <c r="B272" s="46" t="s">
        <v>266</v>
      </c>
      <c r="C272" s="39" t="s">
        <v>767</v>
      </c>
      <c r="D272" s="102">
        <v>868364739</v>
      </c>
      <c r="E272" s="102">
        <v>9195255121</v>
      </c>
      <c r="F272" s="39" t="s">
        <v>261</v>
      </c>
      <c r="G272" s="81">
        <f>39747+(364+182)</f>
        <v>40293</v>
      </c>
      <c r="H272" s="50" t="str">
        <f t="shared" si="12"/>
        <v>Apr</v>
      </c>
      <c r="I272" s="51">
        <f t="shared" ca="1" si="13"/>
        <v>6</v>
      </c>
      <c r="J272" s="52" t="s">
        <v>257</v>
      </c>
      <c r="K272" s="53">
        <v>11810</v>
      </c>
      <c r="L272" s="54">
        <v>1</v>
      </c>
      <c r="M272" s="59">
        <f t="shared" si="14"/>
        <v>11810</v>
      </c>
      <c r="N272" s="100"/>
      <c r="O272" s="45"/>
      <c r="P272" s="39"/>
      <c r="Q272" s="39"/>
      <c r="R272" s="39"/>
      <c r="S272" s="39"/>
      <c r="T272" s="39"/>
      <c r="U272" s="39"/>
      <c r="V272" s="39"/>
      <c r="W272" s="39"/>
      <c r="X272" s="39"/>
      <c r="Y272" s="39"/>
      <c r="Z272" s="39"/>
      <c r="AA272" s="39"/>
      <c r="AB272" s="39"/>
      <c r="AC272" s="39"/>
      <c r="AD272" s="39"/>
      <c r="AE272" s="39"/>
      <c r="AF272" s="39"/>
      <c r="AG272" s="39"/>
      <c r="AH272" s="39"/>
    </row>
    <row r="273" spans="1:34" s="84" customFormat="1" x14ac:dyDescent="0.25">
      <c r="A273" s="39" t="s">
        <v>480</v>
      </c>
      <c r="B273" s="46" t="s">
        <v>271</v>
      </c>
      <c r="C273" s="39" t="s">
        <v>465</v>
      </c>
      <c r="D273" s="102">
        <v>387517948</v>
      </c>
      <c r="E273" s="102">
        <v>9198213594</v>
      </c>
      <c r="F273" s="39" t="s">
        <v>256</v>
      </c>
      <c r="G273" s="81">
        <f>40088+(364+182)</f>
        <v>40634</v>
      </c>
      <c r="H273" s="50" t="str">
        <f t="shared" si="12"/>
        <v>Apr</v>
      </c>
      <c r="I273" s="51">
        <f t="shared" ca="1" si="13"/>
        <v>5</v>
      </c>
      <c r="J273" s="52" t="s">
        <v>257</v>
      </c>
      <c r="K273" s="53">
        <v>47440</v>
      </c>
      <c r="L273" s="54">
        <v>3</v>
      </c>
      <c r="M273" s="59">
        <f t="shared" si="14"/>
        <v>47440</v>
      </c>
      <c r="N273" s="100"/>
      <c r="O273" s="45"/>
      <c r="P273" s="39"/>
      <c r="Q273" s="39"/>
      <c r="R273" s="39"/>
      <c r="S273" s="39"/>
      <c r="T273" s="39"/>
      <c r="U273" s="39"/>
      <c r="V273" s="39"/>
      <c r="W273" s="39"/>
      <c r="X273" s="39"/>
      <c r="Y273" s="39"/>
      <c r="Z273" s="39"/>
      <c r="AA273" s="39"/>
      <c r="AB273" s="39"/>
      <c r="AC273" s="39"/>
      <c r="AD273" s="39"/>
      <c r="AE273" s="39"/>
      <c r="AF273" s="39"/>
      <c r="AG273" s="39"/>
      <c r="AH273" s="39"/>
    </row>
    <row r="274" spans="1:34" s="84" customFormat="1" x14ac:dyDescent="0.25">
      <c r="A274" s="39" t="s">
        <v>970</v>
      </c>
      <c r="B274" s="46" t="s">
        <v>271</v>
      </c>
      <c r="C274" s="39" t="s">
        <v>930</v>
      </c>
      <c r="D274" s="102">
        <v>671823263</v>
      </c>
      <c r="E274" s="102">
        <v>2526718651</v>
      </c>
      <c r="F274" s="39" t="s">
        <v>256</v>
      </c>
      <c r="G274" s="81">
        <f>40091+(364+182)</f>
        <v>40637</v>
      </c>
      <c r="H274" s="50" t="str">
        <f t="shared" si="12"/>
        <v>Apr</v>
      </c>
      <c r="I274" s="51">
        <f t="shared" ca="1" si="13"/>
        <v>5</v>
      </c>
      <c r="J274" s="52" t="s">
        <v>257</v>
      </c>
      <c r="K274" s="53">
        <v>86640</v>
      </c>
      <c r="L274" s="54">
        <v>3</v>
      </c>
      <c r="M274" s="59">
        <f t="shared" si="14"/>
        <v>86640</v>
      </c>
      <c r="N274" s="100"/>
      <c r="O274" s="45"/>
      <c r="P274" s="39"/>
      <c r="Q274" s="39"/>
      <c r="R274" s="39"/>
      <c r="S274" s="39"/>
      <c r="T274" s="39"/>
      <c r="U274" s="39"/>
      <c r="V274" s="39"/>
      <c r="W274" s="39"/>
      <c r="X274" s="39"/>
      <c r="Y274" s="39"/>
      <c r="Z274" s="39"/>
      <c r="AA274" s="39"/>
      <c r="AB274" s="39"/>
      <c r="AC274" s="39"/>
      <c r="AD274" s="39"/>
      <c r="AE274" s="39"/>
      <c r="AF274" s="39"/>
      <c r="AG274" s="39"/>
      <c r="AH274" s="39"/>
    </row>
    <row r="275" spans="1:34" s="84" customFormat="1" x14ac:dyDescent="0.25">
      <c r="A275" s="39" t="s">
        <v>939</v>
      </c>
      <c r="B275" s="46" t="s">
        <v>251</v>
      </c>
      <c r="C275" s="39" t="s">
        <v>930</v>
      </c>
      <c r="D275" s="102">
        <v>995590510</v>
      </c>
      <c r="E275" s="102">
        <v>9191838930</v>
      </c>
      <c r="F275" s="39" t="s">
        <v>247</v>
      </c>
      <c r="G275" s="103">
        <f>40092+(364+182)</f>
        <v>40638</v>
      </c>
      <c r="H275" s="50" t="str">
        <f t="shared" si="12"/>
        <v>Apr</v>
      </c>
      <c r="I275" s="51">
        <f t="shared" ca="1" si="13"/>
        <v>5</v>
      </c>
      <c r="J275" s="52"/>
      <c r="K275" s="53">
        <v>42990</v>
      </c>
      <c r="L275" s="54">
        <v>4</v>
      </c>
      <c r="M275" s="59">
        <f t="shared" si="14"/>
        <v>42990</v>
      </c>
      <c r="N275" s="100"/>
      <c r="O275" s="45"/>
      <c r="P275" s="39"/>
      <c r="Q275" s="39"/>
      <c r="R275" s="39"/>
      <c r="S275" s="39"/>
      <c r="T275" s="39"/>
      <c r="U275" s="39"/>
      <c r="V275" s="39"/>
      <c r="W275" s="39"/>
      <c r="X275" s="39"/>
      <c r="Y275" s="39"/>
      <c r="Z275" s="39"/>
      <c r="AA275" s="39"/>
      <c r="AB275" s="39"/>
      <c r="AC275" s="39"/>
      <c r="AD275" s="39"/>
      <c r="AE275" s="39"/>
      <c r="AF275" s="39"/>
      <c r="AG275" s="39"/>
      <c r="AH275" s="39"/>
    </row>
    <row r="276" spans="1:34" s="84" customFormat="1" x14ac:dyDescent="0.25">
      <c r="A276" s="39" t="s">
        <v>822</v>
      </c>
      <c r="B276" s="46" t="s">
        <v>271</v>
      </c>
      <c r="C276" s="39" t="s">
        <v>767</v>
      </c>
      <c r="D276" s="102">
        <v>191359642</v>
      </c>
      <c r="E276" s="102">
        <v>2528687353</v>
      </c>
      <c r="F276" s="39" t="s">
        <v>256</v>
      </c>
      <c r="G276" s="81">
        <f>32815+(364+182)</f>
        <v>33361</v>
      </c>
      <c r="H276" s="50" t="str">
        <f t="shared" si="12"/>
        <v>May</v>
      </c>
      <c r="I276" s="51">
        <f t="shared" ca="1" si="13"/>
        <v>25</v>
      </c>
      <c r="J276" s="52" t="s">
        <v>257</v>
      </c>
      <c r="K276" s="53">
        <v>24090</v>
      </c>
      <c r="L276" s="54">
        <v>4</v>
      </c>
      <c r="M276" s="59">
        <f t="shared" si="14"/>
        <v>24090</v>
      </c>
      <c r="N276" s="100"/>
      <c r="O276" s="45"/>
      <c r="P276" s="39"/>
      <c r="Q276" s="39"/>
      <c r="R276" s="39"/>
      <c r="S276" s="39"/>
      <c r="T276" s="39"/>
      <c r="U276" s="39"/>
      <c r="V276" s="39"/>
      <c r="W276" s="39"/>
      <c r="X276" s="39"/>
      <c r="Y276" s="39"/>
      <c r="Z276" s="39"/>
      <c r="AA276" s="39"/>
      <c r="AB276" s="39"/>
      <c r="AC276" s="39"/>
      <c r="AD276" s="39"/>
      <c r="AE276" s="39"/>
      <c r="AF276" s="39"/>
      <c r="AG276" s="39"/>
      <c r="AH276" s="39"/>
    </row>
    <row r="277" spans="1:34" s="84" customFormat="1" x14ac:dyDescent="0.25">
      <c r="A277" s="39" t="s">
        <v>462</v>
      </c>
      <c r="B277" s="46" t="s">
        <v>271</v>
      </c>
      <c r="C277" s="39" t="s">
        <v>456</v>
      </c>
      <c r="D277" s="102">
        <v>861884260</v>
      </c>
      <c r="E277" s="102">
        <v>9196632360</v>
      </c>
      <c r="F277" s="39" t="s">
        <v>256</v>
      </c>
      <c r="G277" s="81">
        <f>32839+(364+182)</f>
        <v>33385</v>
      </c>
      <c r="H277" s="50" t="str">
        <f t="shared" si="12"/>
        <v>May</v>
      </c>
      <c r="I277" s="51">
        <f t="shared" ca="1" si="13"/>
        <v>25</v>
      </c>
      <c r="J277" s="52" t="s">
        <v>257</v>
      </c>
      <c r="K277" s="53">
        <v>89140</v>
      </c>
      <c r="L277" s="54">
        <v>1</v>
      </c>
      <c r="M277" s="59">
        <f t="shared" si="14"/>
        <v>89140</v>
      </c>
      <c r="N277" s="100"/>
      <c r="O277" s="45"/>
      <c r="P277" s="39"/>
      <c r="Q277" s="39"/>
      <c r="R277" s="39"/>
      <c r="S277" s="39"/>
      <c r="T277" s="39"/>
      <c r="U277" s="39"/>
      <c r="V277" s="39"/>
      <c r="W277" s="39"/>
      <c r="X277" s="39"/>
      <c r="Y277" s="39"/>
      <c r="Z277" s="39"/>
      <c r="AA277" s="39"/>
      <c r="AB277" s="39"/>
      <c r="AC277" s="39"/>
      <c r="AD277" s="39"/>
      <c r="AE277" s="39"/>
      <c r="AF277" s="39"/>
      <c r="AG277" s="39"/>
      <c r="AH277" s="39"/>
    </row>
    <row r="278" spans="1:34" s="84" customFormat="1" x14ac:dyDescent="0.25">
      <c r="A278" s="39" t="s">
        <v>1026</v>
      </c>
      <c r="B278" s="46" t="s">
        <v>245</v>
      </c>
      <c r="C278" s="39" t="s">
        <v>1025</v>
      </c>
      <c r="D278" s="102">
        <v>776823797</v>
      </c>
      <c r="E278" s="102">
        <v>9193482736</v>
      </c>
      <c r="F278" s="39" t="s">
        <v>247</v>
      </c>
      <c r="G278" s="81">
        <f>32841+(364+182)</f>
        <v>33387</v>
      </c>
      <c r="H278" s="50" t="str">
        <f t="shared" si="12"/>
        <v>May</v>
      </c>
      <c r="I278" s="51">
        <f t="shared" ca="1" si="13"/>
        <v>25</v>
      </c>
      <c r="J278" s="52"/>
      <c r="K278" s="53">
        <v>85510</v>
      </c>
      <c r="L278" s="54">
        <v>4</v>
      </c>
      <c r="M278" s="59">
        <f t="shared" si="14"/>
        <v>85510</v>
      </c>
      <c r="N278" s="100"/>
      <c r="O278" s="45"/>
      <c r="P278" s="39"/>
      <c r="Q278" s="39"/>
      <c r="R278" s="39"/>
      <c r="S278" s="39"/>
      <c r="T278" s="39"/>
      <c r="U278" s="39"/>
      <c r="V278" s="39"/>
      <c r="W278" s="39"/>
      <c r="X278" s="39"/>
      <c r="Y278" s="39"/>
      <c r="Z278" s="39"/>
      <c r="AA278" s="39"/>
      <c r="AB278" s="39"/>
      <c r="AC278" s="39"/>
      <c r="AD278" s="39"/>
      <c r="AE278" s="39"/>
      <c r="AF278" s="39"/>
      <c r="AG278" s="39"/>
      <c r="AH278" s="39"/>
    </row>
    <row r="279" spans="1:34" s="84" customFormat="1" x14ac:dyDescent="0.25">
      <c r="A279" s="39" t="s">
        <v>692</v>
      </c>
      <c r="B279" s="46" t="s">
        <v>285</v>
      </c>
      <c r="C279" s="39" t="s">
        <v>678</v>
      </c>
      <c r="D279" s="102">
        <v>468953266</v>
      </c>
      <c r="E279" s="102">
        <v>9192126707</v>
      </c>
      <c r="F279" s="39" t="s">
        <v>256</v>
      </c>
      <c r="G279" s="81">
        <f>33195+(364+182)</f>
        <v>33741</v>
      </c>
      <c r="H279" s="50" t="str">
        <f t="shared" si="12"/>
        <v>May</v>
      </c>
      <c r="I279" s="51">
        <f t="shared" ca="1" si="13"/>
        <v>24</v>
      </c>
      <c r="J279" s="52" t="s">
        <v>257</v>
      </c>
      <c r="K279" s="53">
        <v>48550</v>
      </c>
      <c r="L279" s="54">
        <v>5</v>
      </c>
      <c r="M279" s="59">
        <f t="shared" si="14"/>
        <v>48550</v>
      </c>
      <c r="N279" s="100"/>
      <c r="O279" s="45"/>
      <c r="P279" s="39"/>
      <c r="Q279" s="39"/>
      <c r="R279" s="39"/>
      <c r="S279" s="39"/>
      <c r="T279" s="39"/>
      <c r="U279" s="39"/>
      <c r="V279" s="39"/>
      <c r="W279" s="39"/>
      <c r="X279" s="39"/>
      <c r="Y279" s="39"/>
      <c r="Z279" s="39"/>
      <c r="AA279" s="39"/>
      <c r="AB279" s="39"/>
      <c r="AC279" s="39"/>
      <c r="AD279" s="39"/>
      <c r="AE279" s="39"/>
      <c r="AF279" s="39"/>
      <c r="AG279" s="39"/>
      <c r="AH279" s="39"/>
    </row>
    <row r="280" spans="1:34" s="84" customFormat="1" x14ac:dyDescent="0.25">
      <c r="A280" s="39" t="s">
        <v>354</v>
      </c>
      <c r="B280" s="46" t="s">
        <v>285</v>
      </c>
      <c r="C280" s="39" t="s">
        <v>312</v>
      </c>
      <c r="D280" s="102">
        <v>667812117</v>
      </c>
      <c r="E280" s="102">
        <v>2526396432</v>
      </c>
      <c r="F280" s="39" t="s">
        <v>256</v>
      </c>
      <c r="G280" s="81">
        <f>33200+(364+182)</f>
        <v>33746</v>
      </c>
      <c r="H280" s="50" t="str">
        <f t="shared" si="12"/>
        <v>May</v>
      </c>
      <c r="I280" s="51">
        <f t="shared" ca="1" si="13"/>
        <v>24</v>
      </c>
      <c r="J280" s="52" t="s">
        <v>262</v>
      </c>
      <c r="K280" s="53">
        <v>31830</v>
      </c>
      <c r="L280" s="54">
        <v>3</v>
      </c>
      <c r="M280" s="59">
        <f t="shared" si="14"/>
        <v>31830</v>
      </c>
      <c r="N280" s="100"/>
      <c r="O280" s="45"/>
      <c r="P280" s="39"/>
      <c r="Q280" s="39"/>
      <c r="R280" s="39"/>
      <c r="S280" s="39"/>
      <c r="T280" s="39"/>
      <c r="U280" s="39"/>
      <c r="V280" s="39"/>
      <c r="W280" s="39"/>
      <c r="X280" s="39"/>
      <c r="Y280" s="39"/>
      <c r="Z280" s="39"/>
      <c r="AA280" s="39"/>
      <c r="AB280" s="39"/>
      <c r="AC280" s="39"/>
      <c r="AD280" s="39"/>
      <c r="AE280" s="39"/>
      <c r="AF280" s="39"/>
      <c r="AG280" s="39"/>
      <c r="AH280" s="39"/>
    </row>
    <row r="281" spans="1:34" s="84" customFormat="1" x14ac:dyDescent="0.25">
      <c r="A281" s="39" t="s">
        <v>538</v>
      </c>
      <c r="B281" s="46" t="s">
        <v>280</v>
      </c>
      <c r="C281" s="39" t="s">
        <v>465</v>
      </c>
      <c r="D281" s="102">
        <v>466293520</v>
      </c>
      <c r="E281" s="102">
        <v>2524442142</v>
      </c>
      <c r="F281" s="39" t="s">
        <v>252</v>
      </c>
      <c r="G281" s="81">
        <f>33205+(364+182)</f>
        <v>33751</v>
      </c>
      <c r="H281" s="50" t="str">
        <f t="shared" si="12"/>
        <v>May</v>
      </c>
      <c r="I281" s="51">
        <f t="shared" ca="1" si="13"/>
        <v>24</v>
      </c>
      <c r="J281" s="52"/>
      <c r="K281" s="53">
        <v>22344</v>
      </c>
      <c r="L281" s="54">
        <v>4</v>
      </c>
      <c r="M281" s="59">
        <f t="shared" si="14"/>
        <v>22344</v>
      </c>
      <c r="N281" s="100"/>
      <c r="O281" s="45"/>
      <c r="P281" s="39"/>
      <c r="Q281" s="39"/>
      <c r="R281" s="39"/>
      <c r="S281" s="39"/>
      <c r="T281" s="39"/>
      <c r="U281" s="39"/>
      <c r="V281" s="39"/>
      <c r="W281" s="39"/>
      <c r="X281" s="39"/>
      <c r="Y281" s="39"/>
      <c r="Z281" s="39"/>
      <c r="AA281" s="39"/>
      <c r="AB281" s="39"/>
      <c r="AC281" s="39"/>
      <c r="AD281" s="39"/>
      <c r="AE281" s="39"/>
      <c r="AF281" s="39"/>
      <c r="AG281" s="39"/>
      <c r="AH281" s="39"/>
    </row>
    <row r="282" spans="1:34" s="84" customFormat="1" x14ac:dyDescent="0.25">
      <c r="A282" s="39" t="s">
        <v>742</v>
      </c>
      <c r="B282" s="46" t="s">
        <v>271</v>
      </c>
      <c r="C282" s="39" t="s">
        <v>705</v>
      </c>
      <c r="D282" s="102">
        <v>934447306</v>
      </c>
      <c r="E282" s="102">
        <v>2525981242</v>
      </c>
      <c r="F282" s="39" t="s">
        <v>256</v>
      </c>
      <c r="G282" s="81">
        <f>33565+(364+182)</f>
        <v>34111</v>
      </c>
      <c r="H282" s="50" t="str">
        <f t="shared" si="12"/>
        <v>May</v>
      </c>
      <c r="I282" s="51">
        <f t="shared" ca="1" si="13"/>
        <v>23</v>
      </c>
      <c r="J282" s="52" t="s">
        <v>283</v>
      </c>
      <c r="K282" s="53">
        <v>73030</v>
      </c>
      <c r="L282" s="54">
        <v>5</v>
      </c>
      <c r="M282" s="59">
        <f t="shared" si="14"/>
        <v>73030</v>
      </c>
      <c r="N282" s="100"/>
      <c r="O282" s="45"/>
      <c r="P282" s="39"/>
      <c r="Q282" s="39"/>
      <c r="R282" s="39"/>
      <c r="S282" s="39"/>
      <c r="T282" s="39"/>
      <c r="U282" s="39"/>
      <c r="V282" s="39"/>
      <c r="W282" s="39"/>
      <c r="X282" s="39"/>
      <c r="Y282" s="39"/>
      <c r="Z282" s="39"/>
      <c r="AA282" s="39"/>
      <c r="AB282" s="39"/>
      <c r="AC282" s="39"/>
      <c r="AD282" s="39"/>
      <c r="AE282" s="39"/>
      <c r="AF282" s="39"/>
      <c r="AG282" s="39"/>
      <c r="AH282" s="39"/>
    </row>
    <row r="283" spans="1:34" s="84" customFormat="1" x14ac:dyDescent="0.25">
      <c r="A283" s="39" t="s">
        <v>368</v>
      </c>
      <c r="B283" s="46" t="s">
        <v>285</v>
      </c>
      <c r="C283" s="39" t="s">
        <v>312</v>
      </c>
      <c r="D283" s="102">
        <v>496260023</v>
      </c>
      <c r="E283" s="102">
        <v>2523962015</v>
      </c>
      <c r="F283" s="39" t="s">
        <v>256</v>
      </c>
      <c r="G283" s="81">
        <f>33928+(364+182)</f>
        <v>34474</v>
      </c>
      <c r="H283" s="50" t="str">
        <f t="shared" si="12"/>
        <v>May</v>
      </c>
      <c r="I283" s="51">
        <f t="shared" ca="1" si="13"/>
        <v>22</v>
      </c>
      <c r="J283" s="52" t="s">
        <v>262</v>
      </c>
      <c r="K283" s="53">
        <v>74670</v>
      </c>
      <c r="L283" s="54">
        <v>5</v>
      </c>
      <c r="M283" s="59">
        <f t="shared" si="14"/>
        <v>74670</v>
      </c>
      <c r="N283" s="100"/>
      <c r="O283" s="45"/>
      <c r="P283" s="39"/>
      <c r="Q283" s="39"/>
      <c r="R283" s="39"/>
      <c r="S283" s="39"/>
      <c r="T283" s="39"/>
      <c r="U283" s="39"/>
      <c r="V283" s="39"/>
      <c r="W283" s="39"/>
      <c r="X283" s="39"/>
      <c r="Y283" s="39"/>
      <c r="Z283" s="39"/>
      <c r="AA283" s="39"/>
      <c r="AB283" s="39"/>
      <c r="AC283" s="39"/>
      <c r="AD283" s="39"/>
      <c r="AE283" s="39"/>
      <c r="AF283" s="39"/>
      <c r="AG283" s="39"/>
      <c r="AH283" s="39"/>
    </row>
    <row r="284" spans="1:34" s="84" customFormat="1" x14ac:dyDescent="0.25">
      <c r="A284" s="39" t="s">
        <v>837</v>
      </c>
      <c r="B284" s="46" t="s">
        <v>271</v>
      </c>
      <c r="C284" s="39" t="s">
        <v>767</v>
      </c>
      <c r="D284" s="102">
        <v>336025451</v>
      </c>
      <c r="E284" s="102">
        <v>2522344526</v>
      </c>
      <c r="F284" s="39" t="s">
        <v>247</v>
      </c>
      <c r="G284" s="81">
        <f>33932+(364+182)</f>
        <v>34478</v>
      </c>
      <c r="H284" s="50" t="str">
        <f t="shared" si="12"/>
        <v>May</v>
      </c>
      <c r="I284" s="51">
        <f t="shared" ca="1" si="13"/>
        <v>22</v>
      </c>
      <c r="J284" s="52"/>
      <c r="K284" s="53">
        <v>56650</v>
      </c>
      <c r="L284" s="54">
        <v>1</v>
      </c>
      <c r="M284" s="59">
        <f t="shared" si="14"/>
        <v>56650</v>
      </c>
      <c r="N284" s="100"/>
      <c r="O284" s="45"/>
      <c r="P284" s="39"/>
      <c r="Q284" s="39"/>
      <c r="R284" s="39"/>
      <c r="S284" s="39"/>
      <c r="T284" s="39"/>
      <c r="U284" s="39"/>
      <c r="V284" s="39"/>
      <c r="W284" s="39"/>
      <c r="X284" s="39"/>
      <c r="Y284" s="39"/>
      <c r="Z284" s="39"/>
      <c r="AA284" s="39"/>
      <c r="AB284" s="39"/>
      <c r="AC284" s="39"/>
      <c r="AD284" s="39"/>
      <c r="AE284" s="39"/>
      <c r="AF284" s="39"/>
      <c r="AG284" s="39"/>
      <c r="AH284" s="39"/>
    </row>
    <row r="285" spans="1:34" s="84" customFormat="1" x14ac:dyDescent="0.25">
      <c r="A285" s="39" t="s">
        <v>522</v>
      </c>
      <c r="B285" s="46" t="s">
        <v>251</v>
      </c>
      <c r="C285" s="39" t="s">
        <v>465</v>
      </c>
      <c r="D285" s="102">
        <v>720538680</v>
      </c>
      <c r="E285" s="102">
        <v>2522126686</v>
      </c>
      <c r="F285" s="39" t="s">
        <v>256</v>
      </c>
      <c r="G285" s="81">
        <f>33937+(364+182)</f>
        <v>34483</v>
      </c>
      <c r="H285" s="50" t="str">
        <f t="shared" si="12"/>
        <v>May</v>
      </c>
      <c r="I285" s="51">
        <f t="shared" ca="1" si="13"/>
        <v>22</v>
      </c>
      <c r="J285" s="52" t="s">
        <v>257</v>
      </c>
      <c r="K285" s="53">
        <v>81010</v>
      </c>
      <c r="L285" s="54">
        <v>4</v>
      </c>
      <c r="M285" s="59">
        <f t="shared" si="14"/>
        <v>81010</v>
      </c>
      <c r="N285" s="100"/>
      <c r="O285" s="45"/>
      <c r="P285" s="39"/>
      <c r="Q285" s="39"/>
      <c r="R285" s="39"/>
      <c r="S285" s="39"/>
      <c r="T285" s="39"/>
      <c r="U285" s="39"/>
      <c r="V285" s="39"/>
      <c r="W285" s="39"/>
      <c r="X285" s="39"/>
      <c r="Y285" s="39"/>
      <c r="Z285" s="39"/>
      <c r="AA285" s="39"/>
      <c r="AB285" s="39"/>
      <c r="AC285" s="39"/>
      <c r="AD285" s="39"/>
      <c r="AE285" s="39"/>
      <c r="AF285" s="39"/>
      <c r="AG285" s="39"/>
      <c r="AH285" s="39"/>
    </row>
    <row r="286" spans="1:34" s="84" customFormat="1" x14ac:dyDescent="0.25">
      <c r="A286" s="39" t="s">
        <v>960</v>
      </c>
      <c r="B286" s="46" t="s">
        <v>285</v>
      </c>
      <c r="C286" s="39" t="s">
        <v>930</v>
      </c>
      <c r="D286" s="102">
        <v>471064761</v>
      </c>
      <c r="E286" s="102">
        <v>9191800673</v>
      </c>
      <c r="F286" s="39" t="s">
        <v>252</v>
      </c>
      <c r="G286" s="81">
        <f>34279+(364+182)</f>
        <v>34825</v>
      </c>
      <c r="H286" s="50" t="str">
        <f t="shared" si="12"/>
        <v>May</v>
      </c>
      <c r="I286" s="51">
        <f t="shared" ca="1" si="13"/>
        <v>21</v>
      </c>
      <c r="J286" s="52"/>
      <c r="K286" s="53">
        <v>26944</v>
      </c>
      <c r="L286" s="54">
        <v>4</v>
      </c>
      <c r="M286" s="59">
        <f t="shared" si="14"/>
        <v>26944</v>
      </c>
      <c r="N286" s="100"/>
      <c r="O286" s="45"/>
      <c r="P286" s="39"/>
      <c r="Q286" s="39"/>
      <c r="R286" s="39"/>
      <c r="S286" s="39"/>
      <c r="T286" s="39"/>
      <c r="U286" s="39"/>
      <c r="V286" s="39"/>
      <c r="W286" s="39"/>
      <c r="X286" s="39"/>
      <c r="Y286" s="39"/>
      <c r="Z286" s="39"/>
      <c r="AA286" s="39"/>
      <c r="AB286" s="39"/>
      <c r="AC286" s="39"/>
      <c r="AD286" s="39"/>
      <c r="AE286" s="39"/>
      <c r="AF286" s="39"/>
      <c r="AG286" s="39"/>
      <c r="AH286" s="39"/>
    </row>
    <row r="287" spans="1:34" s="84" customFormat="1" x14ac:dyDescent="0.25">
      <c r="A287" s="39" t="s">
        <v>323</v>
      </c>
      <c r="B287" s="46" t="s">
        <v>271</v>
      </c>
      <c r="C287" s="39" t="s">
        <v>312</v>
      </c>
      <c r="D287" s="102">
        <v>147261161</v>
      </c>
      <c r="E287" s="102">
        <v>9197692593</v>
      </c>
      <c r="F287" s="39" t="s">
        <v>256</v>
      </c>
      <c r="G287" s="81">
        <f>34286+(364+182)</f>
        <v>34832</v>
      </c>
      <c r="H287" s="50" t="str">
        <f t="shared" si="12"/>
        <v>May</v>
      </c>
      <c r="I287" s="51">
        <f t="shared" ca="1" si="13"/>
        <v>21</v>
      </c>
      <c r="J287" s="52" t="s">
        <v>257</v>
      </c>
      <c r="K287" s="53">
        <v>31910</v>
      </c>
      <c r="L287" s="54">
        <v>5</v>
      </c>
      <c r="M287" s="59">
        <f t="shared" si="14"/>
        <v>31910</v>
      </c>
      <c r="N287" s="100"/>
      <c r="O287" s="45"/>
      <c r="P287" s="39"/>
      <c r="Q287" s="39"/>
      <c r="R287" s="39"/>
      <c r="S287" s="39"/>
      <c r="T287" s="39"/>
      <c r="U287" s="39"/>
      <c r="V287" s="39"/>
      <c r="W287" s="39"/>
      <c r="X287" s="39"/>
      <c r="Y287" s="39"/>
      <c r="Z287" s="39"/>
      <c r="AA287" s="39"/>
      <c r="AB287" s="39"/>
      <c r="AC287" s="39"/>
      <c r="AD287" s="39"/>
      <c r="AE287" s="39"/>
      <c r="AF287" s="39"/>
      <c r="AG287" s="39"/>
      <c r="AH287" s="39"/>
    </row>
    <row r="288" spans="1:34" s="84" customFormat="1" x14ac:dyDescent="0.25">
      <c r="A288" s="39" t="s">
        <v>423</v>
      </c>
      <c r="B288" s="46" t="s">
        <v>285</v>
      </c>
      <c r="C288" s="39" t="s">
        <v>417</v>
      </c>
      <c r="D288" s="102">
        <v>393051351</v>
      </c>
      <c r="E288" s="102">
        <v>9197508998</v>
      </c>
      <c r="F288" s="39" t="s">
        <v>261</v>
      </c>
      <c r="G288" s="81">
        <f>34640+(364+182)</f>
        <v>35186</v>
      </c>
      <c r="H288" s="50" t="str">
        <f t="shared" si="12"/>
        <v>May</v>
      </c>
      <c r="I288" s="51">
        <f t="shared" ca="1" si="13"/>
        <v>20</v>
      </c>
      <c r="J288" s="52" t="s">
        <v>276</v>
      </c>
      <c r="K288" s="53">
        <v>32835</v>
      </c>
      <c r="L288" s="54">
        <v>2</v>
      </c>
      <c r="M288" s="59">
        <f t="shared" si="14"/>
        <v>32835</v>
      </c>
      <c r="N288" s="100"/>
      <c r="O288" s="45"/>
      <c r="P288" s="39"/>
      <c r="Q288" s="39"/>
      <c r="R288" s="39"/>
      <c r="S288" s="39"/>
      <c r="T288" s="39"/>
      <c r="U288" s="39"/>
      <c r="V288" s="39"/>
      <c r="W288" s="39"/>
      <c r="X288" s="39"/>
      <c r="Y288" s="39"/>
      <c r="Z288" s="39"/>
      <c r="AA288" s="39"/>
      <c r="AB288" s="39"/>
      <c r="AC288" s="39"/>
      <c r="AD288" s="39"/>
      <c r="AE288" s="39"/>
      <c r="AF288" s="39"/>
      <c r="AG288" s="39"/>
      <c r="AH288" s="39"/>
    </row>
    <row r="289" spans="1:34" s="84" customFormat="1" x14ac:dyDescent="0.25">
      <c r="A289" s="39" t="s">
        <v>596</v>
      </c>
      <c r="B289" s="46" t="s">
        <v>271</v>
      </c>
      <c r="C289" s="39" t="s">
        <v>465</v>
      </c>
      <c r="D289" s="102">
        <v>147724014</v>
      </c>
      <c r="E289" s="102">
        <v>9192212512</v>
      </c>
      <c r="F289" s="39" t="s">
        <v>256</v>
      </c>
      <c r="G289" s="81">
        <f>34642+(364+182)</f>
        <v>35188</v>
      </c>
      <c r="H289" s="50" t="str">
        <f t="shared" si="12"/>
        <v>May</v>
      </c>
      <c r="I289" s="51">
        <f t="shared" ca="1" si="13"/>
        <v>20</v>
      </c>
      <c r="J289" s="52" t="s">
        <v>283</v>
      </c>
      <c r="K289" s="53">
        <v>44270</v>
      </c>
      <c r="L289" s="54">
        <v>2</v>
      </c>
      <c r="M289" s="59">
        <f t="shared" si="14"/>
        <v>44270</v>
      </c>
      <c r="N289" s="100"/>
      <c r="O289" s="45"/>
      <c r="P289" s="39"/>
      <c r="Q289" s="39"/>
      <c r="R289" s="39"/>
      <c r="S289" s="39"/>
      <c r="T289" s="39"/>
      <c r="U289" s="39"/>
      <c r="V289" s="39"/>
      <c r="W289" s="39"/>
      <c r="X289" s="39"/>
      <c r="Y289" s="39"/>
      <c r="Z289" s="39"/>
      <c r="AA289" s="39"/>
      <c r="AB289" s="39"/>
      <c r="AC289" s="39"/>
      <c r="AD289" s="39"/>
      <c r="AE289" s="39"/>
      <c r="AF289" s="39"/>
      <c r="AG289" s="39"/>
      <c r="AH289" s="39"/>
    </row>
    <row r="290" spans="1:34" x14ac:dyDescent="0.25">
      <c r="A290" s="39" t="s">
        <v>579</v>
      </c>
      <c r="B290" s="46" t="s">
        <v>285</v>
      </c>
      <c r="C290" s="39" t="s">
        <v>465</v>
      </c>
      <c r="D290" s="102">
        <v>930282755</v>
      </c>
      <c r="E290" s="102">
        <v>9192380636</v>
      </c>
      <c r="F290" s="39" t="s">
        <v>261</v>
      </c>
      <c r="G290" s="81">
        <f>34643+(364+182)</f>
        <v>35189</v>
      </c>
      <c r="H290" s="50" t="str">
        <f t="shared" si="12"/>
        <v>May</v>
      </c>
      <c r="I290" s="51">
        <f t="shared" ca="1" si="13"/>
        <v>20</v>
      </c>
      <c r="J290" s="52" t="s">
        <v>257</v>
      </c>
      <c r="K290" s="53">
        <v>46285</v>
      </c>
      <c r="L290" s="54">
        <v>5</v>
      </c>
      <c r="M290" s="59">
        <f t="shared" si="14"/>
        <v>46285</v>
      </c>
    </row>
    <row r="291" spans="1:34" x14ac:dyDescent="0.25">
      <c r="A291" s="39" t="s">
        <v>333</v>
      </c>
      <c r="B291" s="46" t="s">
        <v>251</v>
      </c>
      <c r="C291" s="39" t="s">
        <v>312</v>
      </c>
      <c r="D291" s="102">
        <v>344090854</v>
      </c>
      <c r="E291" s="102">
        <v>2523542524</v>
      </c>
      <c r="F291" s="39" t="s">
        <v>256</v>
      </c>
      <c r="G291" s="81">
        <f>34651+(364+182)</f>
        <v>35197</v>
      </c>
      <c r="H291" s="50" t="str">
        <f t="shared" si="12"/>
        <v>May</v>
      </c>
      <c r="I291" s="51">
        <f t="shared" ca="1" si="13"/>
        <v>20</v>
      </c>
      <c r="J291" s="52" t="s">
        <v>276</v>
      </c>
      <c r="K291" s="53">
        <v>82120</v>
      </c>
      <c r="L291" s="54">
        <v>5</v>
      </c>
      <c r="M291" s="59">
        <f t="shared" si="14"/>
        <v>82120</v>
      </c>
    </row>
    <row r="292" spans="1:34" x14ac:dyDescent="0.25">
      <c r="A292" s="39" t="s">
        <v>546</v>
      </c>
      <c r="B292" s="46" t="s">
        <v>285</v>
      </c>
      <c r="C292" s="39" t="s">
        <v>465</v>
      </c>
      <c r="D292" s="102">
        <v>243062914</v>
      </c>
      <c r="E292" s="102">
        <v>9194018412</v>
      </c>
      <c r="F292" s="39" t="s">
        <v>256</v>
      </c>
      <c r="G292" s="81">
        <f>34653+(364+182)</f>
        <v>35199</v>
      </c>
      <c r="H292" s="50" t="str">
        <f t="shared" si="12"/>
        <v>May</v>
      </c>
      <c r="I292" s="51">
        <f t="shared" ca="1" si="13"/>
        <v>20</v>
      </c>
      <c r="J292" s="52" t="s">
        <v>257</v>
      </c>
      <c r="K292" s="53">
        <v>73450</v>
      </c>
      <c r="L292" s="54">
        <v>3</v>
      </c>
      <c r="M292" s="59">
        <f t="shared" si="14"/>
        <v>73450</v>
      </c>
    </row>
    <row r="293" spans="1:34" x14ac:dyDescent="0.25">
      <c r="A293" s="39" t="s">
        <v>319</v>
      </c>
      <c r="B293" s="46" t="s">
        <v>285</v>
      </c>
      <c r="C293" s="39" t="s">
        <v>312</v>
      </c>
      <c r="D293" s="102">
        <v>905675120</v>
      </c>
      <c r="E293" s="102">
        <v>9192526124</v>
      </c>
      <c r="F293" s="39" t="s">
        <v>256</v>
      </c>
      <c r="G293" s="81">
        <f>34661+(364+182)</f>
        <v>35207</v>
      </c>
      <c r="H293" s="50" t="str">
        <f t="shared" si="12"/>
        <v>May</v>
      </c>
      <c r="I293" s="51">
        <f t="shared" ca="1" si="13"/>
        <v>20</v>
      </c>
      <c r="J293" s="52" t="s">
        <v>267</v>
      </c>
      <c r="K293" s="53">
        <v>77580</v>
      </c>
      <c r="L293" s="54">
        <v>3</v>
      </c>
      <c r="M293" s="59">
        <f t="shared" si="14"/>
        <v>77580</v>
      </c>
    </row>
    <row r="294" spans="1:34" x14ac:dyDescent="0.25">
      <c r="A294" s="39" t="s">
        <v>299</v>
      </c>
      <c r="B294" s="46" t="s">
        <v>245</v>
      </c>
      <c r="C294" s="39" t="s">
        <v>296</v>
      </c>
      <c r="D294" s="102">
        <v>796079833</v>
      </c>
      <c r="E294" s="102">
        <v>2525327906</v>
      </c>
      <c r="F294" s="39" t="s">
        <v>261</v>
      </c>
      <c r="G294" s="81">
        <f>35018+(364+182)</f>
        <v>35564</v>
      </c>
      <c r="H294" s="50" t="str">
        <f t="shared" si="12"/>
        <v>May</v>
      </c>
      <c r="I294" s="51">
        <f t="shared" ca="1" si="13"/>
        <v>19</v>
      </c>
      <c r="J294" s="52" t="s">
        <v>257</v>
      </c>
      <c r="K294" s="53">
        <v>11025</v>
      </c>
      <c r="L294" s="54">
        <v>1</v>
      </c>
      <c r="M294" s="59">
        <f t="shared" si="14"/>
        <v>11025</v>
      </c>
    </row>
    <row r="295" spans="1:34" x14ac:dyDescent="0.25">
      <c r="A295" s="39" t="s">
        <v>703</v>
      </c>
      <c r="B295" s="46" t="s">
        <v>271</v>
      </c>
      <c r="C295" s="39" t="s">
        <v>700</v>
      </c>
      <c r="D295" s="102">
        <v>121688720</v>
      </c>
      <c r="E295" s="102">
        <v>9194794769</v>
      </c>
      <c r="F295" s="39" t="s">
        <v>247</v>
      </c>
      <c r="G295" s="81">
        <f>35021+(364+182)</f>
        <v>35567</v>
      </c>
      <c r="H295" s="50" t="str">
        <f t="shared" si="12"/>
        <v>May</v>
      </c>
      <c r="I295" s="51">
        <f t="shared" ca="1" si="13"/>
        <v>19</v>
      </c>
      <c r="J295" s="52"/>
      <c r="K295" s="53">
        <v>44820</v>
      </c>
      <c r="L295" s="54">
        <v>4</v>
      </c>
      <c r="M295" s="59">
        <f t="shared" si="14"/>
        <v>44820</v>
      </c>
    </row>
    <row r="296" spans="1:34" x14ac:dyDescent="0.25">
      <c r="A296" s="39" t="s">
        <v>335</v>
      </c>
      <c r="B296" s="46" t="s">
        <v>285</v>
      </c>
      <c r="C296" s="39" t="s">
        <v>312</v>
      </c>
      <c r="D296" s="102">
        <v>164904130</v>
      </c>
      <c r="E296" s="102">
        <v>2528046670</v>
      </c>
      <c r="F296" s="39" t="s">
        <v>247</v>
      </c>
      <c r="G296" s="81">
        <f>35023+(364+182)</f>
        <v>35569</v>
      </c>
      <c r="H296" s="50" t="str">
        <f t="shared" si="12"/>
        <v>May</v>
      </c>
      <c r="I296" s="51">
        <f t="shared" ca="1" si="13"/>
        <v>19</v>
      </c>
      <c r="J296" s="52"/>
      <c r="K296" s="53">
        <v>84200</v>
      </c>
      <c r="L296" s="54">
        <v>2</v>
      </c>
      <c r="M296" s="59">
        <f t="shared" si="14"/>
        <v>84200</v>
      </c>
      <c r="N296" s="107"/>
      <c r="O296" s="101"/>
    </row>
    <row r="297" spans="1:34" x14ac:dyDescent="0.25">
      <c r="A297" s="39" t="s">
        <v>897</v>
      </c>
      <c r="B297" s="46" t="s">
        <v>285</v>
      </c>
      <c r="C297" s="39" t="s">
        <v>856</v>
      </c>
      <c r="D297" s="102">
        <v>750722934</v>
      </c>
      <c r="E297" s="102">
        <v>2523631883</v>
      </c>
      <c r="F297" s="39" t="s">
        <v>256</v>
      </c>
      <c r="G297" s="81">
        <f>35023+(364+182)</f>
        <v>35569</v>
      </c>
      <c r="H297" s="50" t="str">
        <f t="shared" si="12"/>
        <v>May</v>
      </c>
      <c r="I297" s="51">
        <f t="shared" ca="1" si="13"/>
        <v>19</v>
      </c>
      <c r="J297" s="52" t="s">
        <v>283</v>
      </c>
      <c r="K297" s="53">
        <v>37770</v>
      </c>
      <c r="L297" s="54">
        <v>5</v>
      </c>
      <c r="M297" s="59">
        <f t="shared" si="14"/>
        <v>37770</v>
      </c>
    </row>
    <row r="298" spans="1:34" x14ac:dyDescent="0.25">
      <c r="A298" s="39" t="s">
        <v>1008</v>
      </c>
      <c r="B298" s="46" t="s">
        <v>285</v>
      </c>
      <c r="C298" s="39" t="s">
        <v>930</v>
      </c>
      <c r="D298" s="102">
        <v>240241467</v>
      </c>
      <c r="E298" s="102">
        <v>2524914916</v>
      </c>
      <c r="F298" s="39" t="s">
        <v>252</v>
      </c>
      <c r="G298" s="81">
        <f>35030+(364+182)</f>
        <v>35576</v>
      </c>
      <c r="H298" s="50" t="str">
        <f t="shared" si="12"/>
        <v>May</v>
      </c>
      <c r="I298" s="51">
        <f t="shared" ca="1" si="13"/>
        <v>19</v>
      </c>
      <c r="J298" s="52"/>
      <c r="K298" s="53">
        <v>28768</v>
      </c>
      <c r="L298" s="54">
        <v>3</v>
      </c>
      <c r="M298" s="59">
        <f t="shared" si="14"/>
        <v>28768</v>
      </c>
    </row>
    <row r="299" spans="1:34" x14ac:dyDescent="0.25">
      <c r="A299" s="39" t="s">
        <v>815</v>
      </c>
      <c r="B299" s="46" t="s">
        <v>251</v>
      </c>
      <c r="C299" s="39" t="s">
        <v>767</v>
      </c>
      <c r="D299" s="102">
        <v>343185481</v>
      </c>
      <c r="E299" s="102">
        <v>9196446519</v>
      </c>
      <c r="F299" s="39" t="s">
        <v>256</v>
      </c>
      <c r="G299" s="81">
        <f>35372+(364+182)</f>
        <v>35918</v>
      </c>
      <c r="H299" s="50" t="str">
        <f t="shared" si="12"/>
        <v>May</v>
      </c>
      <c r="I299" s="51">
        <f t="shared" ca="1" si="13"/>
        <v>18</v>
      </c>
      <c r="J299" s="52" t="s">
        <v>262</v>
      </c>
      <c r="K299" s="53">
        <v>73740</v>
      </c>
      <c r="L299" s="54">
        <v>4</v>
      </c>
      <c r="M299" s="59">
        <f t="shared" si="14"/>
        <v>73740</v>
      </c>
    </row>
    <row r="300" spans="1:34" x14ac:dyDescent="0.25">
      <c r="A300" s="39" t="s">
        <v>714</v>
      </c>
      <c r="B300" s="46" t="s">
        <v>280</v>
      </c>
      <c r="C300" s="39" t="s">
        <v>705</v>
      </c>
      <c r="D300" s="102">
        <v>213741822</v>
      </c>
      <c r="E300" s="102">
        <v>2521780498</v>
      </c>
      <c r="F300" s="39" t="s">
        <v>247</v>
      </c>
      <c r="G300" s="81">
        <f>35375+(364+182)</f>
        <v>35921</v>
      </c>
      <c r="H300" s="50" t="str">
        <f t="shared" si="12"/>
        <v>May</v>
      </c>
      <c r="I300" s="51">
        <f t="shared" ca="1" si="13"/>
        <v>18</v>
      </c>
      <c r="J300" s="52"/>
      <c r="K300" s="53">
        <v>63330</v>
      </c>
      <c r="L300" s="54">
        <v>4</v>
      </c>
      <c r="M300" s="59">
        <f t="shared" si="14"/>
        <v>63330</v>
      </c>
    </row>
    <row r="301" spans="1:34" x14ac:dyDescent="0.25">
      <c r="A301" s="39" t="s">
        <v>514</v>
      </c>
      <c r="B301" s="46" t="s">
        <v>251</v>
      </c>
      <c r="C301" s="39" t="s">
        <v>465</v>
      </c>
      <c r="D301" s="102">
        <v>317844971</v>
      </c>
      <c r="E301" s="102">
        <v>9193557946</v>
      </c>
      <c r="F301" s="39" t="s">
        <v>247</v>
      </c>
      <c r="G301" s="81">
        <f>35381+(364+182)</f>
        <v>35927</v>
      </c>
      <c r="H301" s="50" t="str">
        <f t="shared" si="12"/>
        <v>May</v>
      </c>
      <c r="I301" s="51">
        <f t="shared" ca="1" si="13"/>
        <v>18</v>
      </c>
      <c r="J301" s="52"/>
      <c r="K301" s="53">
        <v>76910</v>
      </c>
      <c r="L301" s="54">
        <v>1</v>
      </c>
      <c r="M301" s="59">
        <f t="shared" si="14"/>
        <v>76910</v>
      </c>
    </row>
    <row r="302" spans="1:34" x14ac:dyDescent="0.25">
      <c r="A302" s="39" t="s">
        <v>484</v>
      </c>
      <c r="B302" s="46" t="s">
        <v>285</v>
      </c>
      <c r="C302" s="39" t="s">
        <v>465</v>
      </c>
      <c r="D302" s="102">
        <v>618535019</v>
      </c>
      <c r="E302" s="102">
        <v>9193695179</v>
      </c>
      <c r="F302" s="39" t="s">
        <v>256</v>
      </c>
      <c r="G302" s="81">
        <f>35386+(364+182)</f>
        <v>35932</v>
      </c>
      <c r="H302" s="50" t="str">
        <f t="shared" si="12"/>
        <v>May</v>
      </c>
      <c r="I302" s="51">
        <f t="shared" ca="1" si="13"/>
        <v>18</v>
      </c>
      <c r="J302" s="52" t="s">
        <v>283</v>
      </c>
      <c r="K302" s="53">
        <v>89740</v>
      </c>
      <c r="L302" s="54">
        <v>5</v>
      </c>
      <c r="M302" s="59">
        <f t="shared" si="14"/>
        <v>89740</v>
      </c>
    </row>
    <row r="303" spans="1:34" x14ac:dyDescent="0.25">
      <c r="A303" s="39" t="s">
        <v>554</v>
      </c>
      <c r="B303" s="46" t="s">
        <v>245</v>
      </c>
      <c r="C303" s="39" t="s">
        <v>465</v>
      </c>
      <c r="D303" s="102">
        <v>416394493</v>
      </c>
      <c r="E303" s="102">
        <v>2525228252</v>
      </c>
      <c r="F303" s="39" t="s">
        <v>256</v>
      </c>
      <c r="G303" s="81">
        <f>35392+(364+182)</f>
        <v>35938</v>
      </c>
      <c r="H303" s="50" t="str">
        <f t="shared" si="12"/>
        <v>May</v>
      </c>
      <c r="I303" s="51">
        <f t="shared" ca="1" si="13"/>
        <v>18</v>
      </c>
      <c r="J303" s="52" t="s">
        <v>267</v>
      </c>
      <c r="K303" s="53">
        <v>55450</v>
      </c>
      <c r="L303" s="54">
        <v>5</v>
      </c>
      <c r="M303" s="59">
        <f t="shared" si="14"/>
        <v>55450</v>
      </c>
    </row>
    <row r="304" spans="1:34" x14ac:dyDescent="0.25">
      <c r="A304" s="39" t="s">
        <v>426</v>
      </c>
      <c r="B304" s="46" t="s">
        <v>271</v>
      </c>
      <c r="C304" s="39" t="s">
        <v>417</v>
      </c>
      <c r="D304" s="102">
        <v>282972141</v>
      </c>
      <c r="E304" s="102">
        <v>2527135797</v>
      </c>
      <c r="F304" s="39" t="s">
        <v>247</v>
      </c>
      <c r="G304" s="81">
        <f>35393+(364+182)</f>
        <v>35939</v>
      </c>
      <c r="H304" s="50" t="str">
        <f t="shared" si="12"/>
        <v>May</v>
      </c>
      <c r="I304" s="51">
        <f t="shared" ca="1" si="13"/>
        <v>18</v>
      </c>
      <c r="J304" s="52"/>
      <c r="K304" s="53">
        <v>25120</v>
      </c>
      <c r="L304" s="54">
        <v>5</v>
      </c>
      <c r="M304" s="59">
        <f t="shared" si="14"/>
        <v>25120</v>
      </c>
    </row>
    <row r="305" spans="1:34" x14ac:dyDescent="0.25">
      <c r="A305" s="39" t="s">
        <v>364</v>
      </c>
      <c r="B305" s="46" t="s">
        <v>266</v>
      </c>
      <c r="C305" s="39" t="s">
        <v>312</v>
      </c>
      <c r="D305" s="102">
        <v>267218084</v>
      </c>
      <c r="E305" s="102">
        <v>9193825834</v>
      </c>
      <c r="F305" s="39" t="s">
        <v>247</v>
      </c>
      <c r="G305" s="81">
        <f>35394+(364+182)</f>
        <v>35940</v>
      </c>
      <c r="H305" s="50" t="str">
        <f t="shared" si="12"/>
        <v>May</v>
      </c>
      <c r="I305" s="51">
        <f t="shared" ca="1" si="13"/>
        <v>18</v>
      </c>
      <c r="J305" s="52"/>
      <c r="K305" s="53">
        <v>88000</v>
      </c>
      <c r="L305" s="54">
        <v>5</v>
      </c>
      <c r="M305" s="59">
        <f t="shared" si="14"/>
        <v>88000</v>
      </c>
    </row>
    <row r="306" spans="1:34" s="84" customFormat="1" x14ac:dyDescent="0.25">
      <c r="A306" s="39" t="s">
        <v>775</v>
      </c>
      <c r="B306" s="46" t="s">
        <v>245</v>
      </c>
      <c r="C306" s="39" t="s">
        <v>767</v>
      </c>
      <c r="D306" s="102">
        <v>525699951</v>
      </c>
      <c r="E306" s="102">
        <v>9198400261</v>
      </c>
      <c r="F306" s="39" t="s">
        <v>252</v>
      </c>
      <c r="G306" s="81">
        <f>35400+(364+182)</f>
        <v>35946</v>
      </c>
      <c r="H306" s="50" t="str">
        <f t="shared" si="12"/>
        <v>May</v>
      </c>
      <c r="I306" s="51">
        <f t="shared" ca="1" si="13"/>
        <v>18</v>
      </c>
      <c r="J306" s="52"/>
      <c r="K306" s="53">
        <v>14332</v>
      </c>
      <c r="L306" s="54">
        <v>5</v>
      </c>
      <c r="M306" s="59">
        <f t="shared" si="14"/>
        <v>14332</v>
      </c>
      <c r="N306" s="100"/>
      <c r="O306" s="45"/>
      <c r="P306" s="39"/>
      <c r="Q306" s="39"/>
      <c r="R306" s="39"/>
      <c r="S306" s="39"/>
      <c r="T306" s="39"/>
      <c r="U306" s="39"/>
      <c r="V306" s="39"/>
      <c r="W306" s="39"/>
      <c r="X306" s="39"/>
      <c r="Y306" s="39"/>
      <c r="Z306" s="39"/>
      <c r="AA306" s="39"/>
      <c r="AB306" s="39"/>
      <c r="AC306" s="39"/>
      <c r="AD306" s="39"/>
      <c r="AE306" s="39"/>
      <c r="AF306" s="39"/>
      <c r="AG306" s="39"/>
      <c r="AH306" s="39"/>
    </row>
    <row r="307" spans="1:34" s="84" customFormat="1" x14ac:dyDescent="0.25">
      <c r="A307" s="39" t="s">
        <v>578</v>
      </c>
      <c r="B307" s="46" t="s">
        <v>280</v>
      </c>
      <c r="C307" s="39" t="s">
        <v>465</v>
      </c>
      <c r="D307" s="102">
        <v>969216994</v>
      </c>
      <c r="E307" s="102">
        <v>2528973095</v>
      </c>
      <c r="F307" s="39" t="s">
        <v>247</v>
      </c>
      <c r="G307" s="81">
        <f>35737+(364+182)</f>
        <v>36283</v>
      </c>
      <c r="H307" s="50" t="str">
        <f t="shared" si="12"/>
        <v>May</v>
      </c>
      <c r="I307" s="51">
        <f t="shared" ca="1" si="13"/>
        <v>17</v>
      </c>
      <c r="J307" s="52"/>
      <c r="K307" s="53">
        <v>25130</v>
      </c>
      <c r="L307" s="54">
        <v>5</v>
      </c>
      <c r="M307" s="59">
        <f t="shared" si="14"/>
        <v>25130</v>
      </c>
      <c r="N307" s="100"/>
      <c r="O307" s="45"/>
      <c r="P307" s="39"/>
      <c r="Q307" s="39"/>
      <c r="R307" s="39"/>
      <c r="S307" s="39"/>
      <c r="T307" s="39"/>
      <c r="U307" s="39"/>
      <c r="V307" s="39"/>
      <c r="W307" s="39"/>
      <c r="X307" s="39"/>
      <c r="Y307" s="39"/>
      <c r="Z307" s="39"/>
      <c r="AA307" s="39"/>
      <c r="AB307" s="39"/>
      <c r="AC307" s="39"/>
      <c r="AD307" s="39"/>
      <c r="AE307" s="39"/>
      <c r="AF307" s="39"/>
      <c r="AG307" s="39"/>
      <c r="AH307" s="39"/>
    </row>
    <row r="308" spans="1:34" s="84" customFormat="1" x14ac:dyDescent="0.25">
      <c r="A308" s="39" t="s">
        <v>859</v>
      </c>
      <c r="B308" s="46" t="s">
        <v>245</v>
      </c>
      <c r="C308" s="39" t="s">
        <v>856</v>
      </c>
      <c r="D308" s="102">
        <v>512404764</v>
      </c>
      <c r="E308" s="102">
        <v>9193976775</v>
      </c>
      <c r="F308" s="39" t="s">
        <v>256</v>
      </c>
      <c r="G308" s="81">
        <f>35744+(364+182)</f>
        <v>36290</v>
      </c>
      <c r="H308" s="50" t="str">
        <f t="shared" si="12"/>
        <v>May</v>
      </c>
      <c r="I308" s="51">
        <f t="shared" ca="1" si="13"/>
        <v>17</v>
      </c>
      <c r="J308" s="52" t="s">
        <v>283</v>
      </c>
      <c r="K308" s="53">
        <v>39000</v>
      </c>
      <c r="L308" s="54">
        <v>3</v>
      </c>
      <c r="M308" s="59">
        <f t="shared" si="14"/>
        <v>39000</v>
      </c>
      <c r="N308" s="100"/>
      <c r="O308" s="45"/>
      <c r="P308" s="39"/>
      <c r="Q308" s="39"/>
      <c r="R308" s="39"/>
      <c r="S308" s="39"/>
      <c r="T308" s="39"/>
      <c r="U308" s="39"/>
      <c r="V308" s="39"/>
      <c r="W308" s="39"/>
      <c r="X308" s="39"/>
      <c r="Y308" s="39"/>
      <c r="Z308" s="39"/>
      <c r="AA308" s="39"/>
      <c r="AB308" s="39"/>
      <c r="AC308" s="39"/>
      <c r="AD308" s="39"/>
      <c r="AE308" s="39"/>
      <c r="AF308" s="39"/>
      <c r="AG308" s="39"/>
      <c r="AH308" s="39"/>
    </row>
    <row r="309" spans="1:34" s="84" customFormat="1" x14ac:dyDescent="0.25">
      <c r="A309" s="39" t="s">
        <v>655</v>
      </c>
      <c r="B309" s="46" t="s">
        <v>266</v>
      </c>
      <c r="C309" s="39" t="s">
        <v>626</v>
      </c>
      <c r="D309" s="102">
        <v>355985853</v>
      </c>
      <c r="E309" s="102">
        <v>2525478716</v>
      </c>
      <c r="F309" s="39" t="s">
        <v>256</v>
      </c>
      <c r="G309" s="81">
        <f>35751+(364+182)</f>
        <v>36297</v>
      </c>
      <c r="H309" s="50" t="str">
        <f t="shared" si="12"/>
        <v>May</v>
      </c>
      <c r="I309" s="51">
        <f t="shared" ca="1" si="13"/>
        <v>17</v>
      </c>
      <c r="J309" s="52" t="s">
        <v>257</v>
      </c>
      <c r="K309" s="53">
        <v>46030</v>
      </c>
      <c r="L309" s="54">
        <v>2</v>
      </c>
      <c r="M309" s="59">
        <f t="shared" si="14"/>
        <v>46030</v>
      </c>
      <c r="N309" s="100"/>
      <c r="O309" s="45"/>
      <c r="P309" s="39"/>
      <c r="Q309" s="39"/>
      <c r="R309" s="39"/>
      <c r="S309" s="39"/>
      <c r="T309" s="39"/>
      <c r="U309" s="39"/>
      <c r="V309" s="39"/>
      <c r="W309" s="39"/>
      <c r="X309" s="39"/>
      <c r="Y309" s="39"/>
      <c r="Z309" s="39"/>
      <c r="AA309" s="39"/>
      <c r="AB309" s="39"/>
      <c r="AC309" s="39"/>
      <c r="AD309" s="39"/>
      <c r="AE309" s="39"/>
      <c r="AF309" s="39"/>
      <c r="AG309" s="39"/>
      <c r="AH309" s="39"/>
    </row>
    <row r="310" spans="1:34" s="84" customFormat="1" x14ac:dyDescent="0.25">
      <c r="A310" s="39" t="s">
        <v>840</v>
      </c>
      <c r="B310" s="46" t="s">
        <v>271</v>
      </c>
      <c r="C310" s="39" t="s">
        <v>767</v>
      </c>
      <c r="D310" s="102">
        <v>548283920</v>
      </c>
      <c r="E310" s="102">
        <v>2524160215</v>
      </c>
      <c r="F310" s="39" t="s">
        <v>247</v>
      </c>
      <c r="G310" s="81">
        <f>35751+(364+182)</f>
        <v>36297</v>
      </c>
      <c r="H310" s="50" t="str">
        <f t="shared" si="12"/>
        <v>May</v>
      </c>
      <c r="I310" s="51">
        <f t="shared" ca="1" si="13"/>
        <v>17</v>
      </c>
      <c r="J310" s="52"/>
      <c r="K310" s="53">
        <v>57990</v>
      </c>
      <c r="L310" s="54">
        <v>5</v>
      </c>
      <c r="M310" s="59">
        <f t="shared" si="14"/>
        <v>57990</v>
      </c>
      <c r="N310" s="100"/>
      <c r="O310" s="45"/>
      <c r="P310" s="39"/>
      <c r="Q310" s="39"/>
      <c r="R310" s="39"/>
      <c r="S310" s="39"/>
      <c r="T310" s="39"/>
      <c r="U310" s="39"/>
      <c r="V310" s="39"/>
      <c r="W310" s="39"/>
      <c r="X310" s="39"/>
      <c r="Y310" s="39"/>
      <c r="Z310" s="39"/>
      <c r="AA310" s="39"/>
      <c r="AB310" s="39"/>
      <c r="AC310" s="39"/>
      <c r="AD310" s="39"/>
      <c r="AE310" s="39"/>
      <c r="AF310" s="39"/>
      <c r="AG310" s="39"/>
      <c r="AH310" s="39"/>
    </row>
    <row r="311" spans="1:34" s="84" customFormat="1" x14ac:dyDescent="0.25">
      <c r="A311" s="39" t="s">
        <v>536</v>
      </c>
      <c r="B311" s="46" t="s">
        <v>271</v>
      </c>
      <c r="C311" s="39" t="s">
        <v>465</v>
      </c>
      <c r="D311" s="102">
        <v>506577536</v>
      </c>
      <c r="E311" s="102">
        <v>2524999647</v>
      </c>
      <c r="F311" s="39" t="s">
        <v>252</v>
      </c>
      <c r="G311" s="81">
        <f>35759+(364+182)</f>
        <v>36305</v>
      </c>
      <c r="H311" s="50" t="str">
        <f t="shared" si="12"/>
        <v>May</v>
      </c>
      <c r="I311" s="51">
        <f t="shared" ca="1" si="13"/>
        <v>17</v>
      </c>
      <c r="J311" s="52"/>
      <c r="K311" s="53">
        <v>9424</v>
      </c>
      <c r="L311" s="54">
        <v>4</v>
      </c>
      <c r="M311" s="59">
        <f t="shared" si="14"/>
        <v>9424</v>
      </c>
      <c r="N311" s="100"/>
      <c r="O311" s="45"/>
      <c r="P311" s="39"/>
      <c r="Q311" s="39"/>
      <c r="R311" s="39"/>
      <c r="S311" s="39"/>
      <c r="T311" s="39"/>
      <c r="U311" s="39"/>
      <c r="V311" s="39"/>
      <c r="W311" s="39"/>
      <c r="X311" s="39"/>
      <c r="Y311" s="39"/>
      <c r="Z311" s="39"/>
      <c r="AA311" s="39"/>
      <c r="AB311" s="39"/>
      <c r="AC311" s="39"/>
      <c r="AD311" s="39"/>
      <c r="AE311" s="39"/>
      <c r="AF311" s="39"/>
      <c r="AG311" s="39"/>
      <c r="AH311" s="39"/>
    </row>
    <row r="312" spans="1:34" s="84" customFormat="1" x14ac:dyDescent="0.25">
      <c r="A312" s="39" t="s">
        <v>634</v>
      </c>
      <c r="B312" s="46" t="s">
        <v>245</v>
      </c>
      <c r="C312" s="39" t="s">
        <v>626</v>
      </c>
      <c r="D312" s="102">
        <v>422929693</v>
      </c>
      <c r="E312" s="102">
        <v>9191487375</v>
      </c>
      <c r="F312" s="39" t="s">
        <v>256</v>
      </c>
      <c r="G312" s="81">
        <f>36116+(364+182)</f>
        <v>36662</v>
      </c>
      <c r="H312" s="50" t="str">
        <f t="shared" si="12"/>
        <v>May</v>
      </c>
      <c r="I312" s="51">
        <f t="shared" ca="1" si="13"/>
        <v>16</v>
      </c>
      <c r="J312" s="52" t="s">
        <v>283</v>
      </c>
      <c r="K312" s="53">
        <v>52490</v>
      </c>
      <c r="L312" s="54">
        <v>4</v>
      </c>
      <c r="M312" s="59">
        <f t="shared" si="14"/>
        <v>52490</v>
      </c>
      <c r="N312" s="100"/>
      <c r="O312" s="45"/>
      <c r="P312" s="39"/>
      <c r="Q312" s="39"/>
      <c r="R312" s="39"/>
      <c r="S312" s="39"/>
      <c r="T312" s="39"/>
      <c r="U312" s="39"/>
      <c r="V312" s="39"/>
      <c r="W312" s="39"/>
      <c r="X312" s="39"/>
      <c r="Y312" s="39"/>
      <c r="Z312" s="39"/>
      <c r="AA312" s="39"/>
      <c r="AB312" s="39"/>
      <c r="AC312" s="39"/>
      <c r="AD312" s="39"/>
      <c r="AE312" s="39"/>
      <c r="AF312" s="39"/>
      <c r="AG312" s="39"/>
      <c r="AH312" s="39"/>
    </row>
    <row r="313" spans="1:34" s="84" customFormat="1" x14ac:dyDescent="0.25">
      <c r="A313" s="39" t="s">
        <v>933</v>
      </c>
      <c r="B313" s="46" t="s">
        <v>285</v>
      </c>
      <c r="C313" s="39" t="s">
        <v>930</v>
      </c>
      <c r="D313" s="102">
        <v>163350417</v>
      </c>
      <c r="E313" s="102">
        <v>2526466230</v>
      </c>
      <c r="F313" s="39" t="s">
        <v>256</v>
      </c>
      <c r="G313" s="81">
        <f>36126+(364+182)</f>
        <v>36672</v>
      </c>
      <c r="H313" s="50" t="str">
        <f t="shared" si="12"/>
        <v>May</v>
      </c>
      <c r="I313" s="51">
        <f t="shared" ca="1" si="13"/>
        <v>16</v>
      </c>
      <c r="J313" s="52" t="s">
        <v>262</v>
      </c>
      <c r="K313" s="53">
        <v>65320</v>
      </c>
      <c r="L313" s="54">
        <v>5</v>
      </c>
      <c r="M313" s="59">
        <f t="shared" si="14"/>
        <v>65320</v>
      </c>
      <c r="N313" s="100"/>
      <c r="O313" s="45"/>
      <c r="P313" s="39"/>
      <c r="Q313" s="39"/>
      <c r="R313" s="39"/>
      <c r="S313" s="39"/>
      <c r="T313" s="39"/>
      <c r="U313" s="39"/>
      <c r="V313" s="39"/>
      <c r="W313" s="39"/>
      <c r="X313" s="39"/>
      <c r="Y313" s="39"/>
      <c r="Z313" s="39"/>
      <c r="AA313" s="39"/>
      <c r="AB313" s="39"/>
      <c r="AC313" s="39"/>
      <c r="AD313" s="39"/>
      <c r="AE313" s="39"/>
      <c r="AF313" s="39"/>
      <c r="AG313" s="39"/>
      <c r="AH313" s="39"/>
    </row>
    <row r="314" spans="1:34" s="84" customFormat="1" x14ac:dyDescent="0.25">
      <c r="A314" s="39" t="s">
        <v>461</v>
      </c>
      <c r="B314" s="46" t="s">
        <v>280</v>
      </c>
      <c r="C314" s="39" t="s">
        <v>456</v>
      </c>
      <c r="D314" s="102">
        <v>746497232</v>
      </c>
      <c r="E314" s="102">
        <v>9196681578</v>
      </c>
      <c r="F314" s="39" t="s">
        <v>247</v>
      </c>
      <c r="G314" s="81">
        <f>36127+(364+182)</f>
        <v>36673</v>
      </c>
      <c r="H314" s="50" t="str">
        <f t="shared" si="12"/>
        <v>May</v>
      </c>
      <c r="I314" s="51">
        <f t="shared" ca="1" si="13"/>
        <v>16</v>
      </c>
      <c r="J314" s="52" t="s">
        <v>283</v>
      </c>
      <c r="K314" s="53">
        <v>69410</v>
      </c>
      <c r="L314" s="54">
        <v>4</v>
      </c>
      <c r="M314" s="59">
        <f t="shared" si="14"/>
        <v>69410</v>
      </c>
      <c r="N314" s="100"/>
      <c r="O314" s="45"/>
      <c r="P314" s="39"/>
      <c r="Q314" s="39"/>
      <c r="R314" s="39"/>
      <c r="S314" s="39"/>
      <c r="T314" s="39"/>
      <c r="U314" s="39"/>
      <c r="V314" s="39"/>
      <c r="W314" s="39"/>
      <c r="X314" s="39"/>
      <c r="Y314" s="39"/>
      <c r="Z314" s="39"/>
      <c r="AA314" s="39"/>
      <c r="AB314" s="39"/>
      <c r="AC314" s="39"/>
      <c r="AD314" s="39"/>
      <c r="AE314" s="39"/>
      <c r="AF314" s="39"/>
      <c r="AG314" s="39"/>
      <c r="AH314" s="39"/>
    </row>
    <row r="315" spans="1:34" s="84" customFormat="1" x14ac:dyDescent="0.25">
      <c r="A315" s="39" t="s">
        <v>835</v>
      </c>
      <c r="B315" s="46" t="s">
        <v>271</v>
      </c>
      <c r="C315" s="39" t="s">
        <v>767</v>
      </c>
      <c r="D315" s="102">
        <v>737152868</v>
      </c>
      <c r="E315" s="102">
        <v>9191124357</v>
      </c>
      <c r="F315" s="39" t="s">
        <v>256</v>
      </c>
      <c r="G315" s="81">
        <f>36127+(364+182)</f>
        <v>36673</v>
      </c>
      <c r="H315" s="50" t="str">
        <f t="shared" si="12"/>
        <v>May</v>
      </c>
      <c r="I315" s="51">
        <f t="shared" ca="1" si="13"/>
        <v>16</v>
      </c>
      <c r="J315" s="52" t="s">
        <v>276</v>
      </c>
      <c r="K315" s="53">
        <v>48330</v>
      </c>
      <c r="L315" s="54">
        <v>1</v>
      </c>
      <c r="M315" s="59">
        <f t="shared" si="14"/>
        <v>48330</v>
      </c>
      <c r="N315" s="100"/>
      <c r="O315" s="45"/>
      <c r="P315" s="39"/>
      <c r="Q315" s="39"/>
      <c r="R315" s="39"/>
      <c r="S315" s="39"/>
      <c r="T315" s="39"/>
      <c r="U315" s="39"/>
      <c r="V315" s="39"/>
      <c r="W315" s="39"/>
      <c r="X315" s="39"/>
      <c r="Y315" s="39"/>
      <c r="Z315" s="39"/>
      <c r="AA315" s="39"/>
      <c r="AB315" s="39"/>
      <c r="AC315" s="39"/>
      <c r="AD315" s="39"/>
      <c r="AE315" s="39"/>
      <c r="AF315" s="39"/>
      <c r="AG315" s="39"/>
      <c r="AH315" s="39"/>
    </row>
    <row r="316" spans="1:34" s="84" customFormat="1" x14ac:dyDescent="0.25">
      <c r="A316" s="39" t="s">
        <v>345</v>
      </c>
      <c r="B316" s="46" t="s">
        <v>285</v>
      </c>
      <c r="C316" s="39" t="s">
        <v>312</v>
      </c>
      <c r="D316" s="102">
        <v>349979288</v>
      </c>
      <c r="E316" s="102">
        <v>9194629972</v>
      </c>
      <c r="F316" s="39" t="s">
        <v>256</v>
      </c>
      <c r="G316" s="81">
        <f>36472+(364+182)</f>
        <v>37018</v>
      </c>
      <c r="H316" s="50" t="str">
        <f t="shared" si="12"/>
        <v>May</v>
      </c>
      <c r="I316" s="51">
        <f t="shared" ca="1" si="13"/>
        <v>15</v>
      </c>
      <c r="J316" s="52" t="s">
        <v>283</v>
      </c>
      <c r="K316" s="53">
        <v>28650</v>
      </c>
      <c r="L316" s="54">
        <v>4</v>
      </c>
      <c r="M316" s="59">
        <f t="shared" si="14"/>
        <v>28650</v>
      </c>
      <c r="N316" s="100"/>
      <c r="O316" s="45"/>
      <c r="P316" s="39"/>
      <c r="Q316" s="39"/>
      <c r="R316" s="39"/>
      <c r="S316" s="39"/>
      <c r="T316" s="39"/>
      <c r="U316" s="39"/>
      <c r="V316" s="39"/>
      <c r="W316" s="39"/>
      <c r="X316" s="39"/>
      <c r="Y316" s="39"/>
      <c r="Z316" s="39"/>
      <c r="AA316" s="39"/>
      <c r="AB316" s="39"/>
      <c r="AC316" s="39"/>
      <c r="AD316" s="39"/>
      <c r="AE316" s="39"/>
      <c r="AF316" s="39"/>
      <c r="AG316" s="39"/>
      <c r="AH316" s="39"/>
    </row>
    <row r="317" spans="1:34" s="84" customFormat="1" x14ac:dyDescent="0.25">
      <c r="A317" s="39" t="s">
        <v>497</v>
      </c>
      <c r="B317" s="46" t="s">
        <v>285</v>
      </c>
      <c r="C317" s="39" t="s">
        <v>465</v>
      </c>
      <c r="D317" s="102">
        <v>337943008</v>
      </c>
      <c r="E317" s="102">
        <v>2521257896</v>
      </c>
      <c r="F317" s="39" t="s">
        <v>256</v>
      </c>
      <c r="G317" s="81">
        <f>36848+(364+182)</f>
        <v>37394</v>
      </c>
      <c r="H317" s="50" t="str">
        <f t="shared" si="12"/>
        <v>May</v>
      </c>
      <c r="I317" s="51">
        <f t="shared" ca="1" si="13"/>
        <v>14</v>
      </c>
      <c r="J317" s="52" t="s">
        <v>257</v>
      </c>
      <c r="K317" s="53">
        <v>28970</v>
      </c>
      <c r="L317" s="54">
        <v>3</v>
      </c>
      <c r="M317" s="59">
        <f t="shared" si="14"/>
        <v>28970</v>
      </c>
      <c r="N317" s="100"/>
      <c r="O317" s="45"/>
      <c r="P317" s="39"/>
      <c r="Q317" s="39"/>
      <c r="R317" s="39"/>
      <c r="S317" s="39"/>
      <c r="T317" s="39"/>
      <c r="U317" s="39"/>
      <c r="V317" s="39"/>
      <c r="W317" s="39"/>
      <c r="X317" s="39"/>
      <c r="Y317" s="39"/>
      <c r="Z317" s="39"/>
      <c r="AA317" s="39"/>
      <c r="AB317" s="39"/>
      <c r="AC317" s="39"/>
      <c r="AD317" s="39"/>
      <c r="AE317" s="39"/>
      <c r="AF317" s="39"/>
      <c r="AG317" s="39"/>
      <c r="AH317" s="39"/>
    </row>
    <row r="318" spans="1:34" s="84" customFormat="1" x14ac:dyDescent="0.25">
      <c r="A318" s="39" t="s">
        <v>289</v>
      </c>
      <c r="B318" s="46" t="s">
        <v>251</v>
      </c>
      <c r="C318" s="39" t="s">
        <v>272</v>
      </c>
      <c r="D318" s="102">
        <v>975603308</v>
      </c>
      <c r="E318" s="102">
        <v>9192693355</v>
      </c>
      <c r="F318" s="39" t="s">
        <v>256</v>
      </c>
      <c r="G318" s="81">
        <f>36858+(364+182)</f>
        <v>37404</v>
      </c>
      <c r="H318" s="50" t="str">
        <f t="shared" si="12"/>
        <v>May</v>
      </c>
      <c r="I318" s="51">
        <f t="shared" ca="1" si="13"/>
        <v>14</v>
      </c>
      <c r="J318" s="52" t="s">
        <v>257</v>
      </c>
      <c r="K318" s="53">
        <v>30780</v>
      </c>
      <c r="L318" s="54">
        <v>4</v>
      </c>
      <c r="M318" s="59">
        <f t="shared" si="14"/>
        <v>30780</v>
      </c>
      <c r="N318" s="100"/>
      <c r="O318" s="45"/>
      <c r="P318" s="39"/>
      <c r="Q318" s="39"/>
      <c r="R318" s="39"/>
      <c r="S318" s="39"/>
      <c r="T318" s="39"/>
      <c r="U318" s="39"/>
      <c r="V318" s="39"/>
      <c r="W318" s="39"/>
      <c r="X318" s="39"/>
      <c r="Y318" s="39"/>
      <c r="Z318" s="39"/>
      <c r="AA318" s="39"/>
      <c r="AB318" s="39"/>
      <c r="AC318" s="39"/>
      <c r="AD318" s="39"/>
      <c r="AE318" s="39"/>
      <c r="AF318" s="39"/>
      <c r="AG318" s="39"/>
      <c r="AH318" s="39"/>
    </row>
    <row r="319" spans="1:34" s="84" customFormat="1" x14ac:dyDescent="0.25">
      <c r="A319" s="39" t="s">
        <v>843</v>
      </c>
      <c r="B319" s="46" t="s">
        <v>271</v>
      </c>
      <c r="C319" s="39" t="s">
        <v>767</v>
      </c>
      <c r="D319" s="102">
        <v>339488599</v>
      </c>
      <c r="E319" s="102">
        <v>9191267946</v>
      </c>
      <c r="F319" s="39" t="s">
        <v>247</v>
      </c>
      <c r="G319" s="81">
        <f>36858+(364+182)</f>
        <v>37404</v>
      </c>
      <c r="H319" s="50" t="str">
        <f t="shared" si="12"/>
        <v>May</v>
      </c>
      <c r="I319" s="51">
        <f t="shared" ca="1" si="13"/>
        <v>14</v>
      </c>
      <c r="J319" s="52"/>
      <c r="K319" s="53">
        <v>60070</v>
      </c>
      <c r="L319" s="54">
        <v>3</v>
      </c>
      <c r="M319" s="59">
        <f t="shared" si="14"/>
        <v>60070</v>
      </c>
      <c r="N319" s="100"/>
      <c r="O319" s="45"/>
      <c r="P319" s="39"/>
      <c r="Q319" s="39"/>
      <c r="R319" s="39"/>
      <c r="S319" s="39"/>
      <c r="T319" s="39"/>
      <c r="U319" s="39"/>
      <c r="V319" s="39"/>
      <c r="W319" s="39"/>
      <c r="X319" s="39"/>
      <c r="Y319" s="39"/>
      <c r="Z319" s="39"/>
      <c r="AA319" s="39"/>
      <c r="AB319" s="39"/>
      <c r="AC319" s="39"/>
      <c r="AD319" s="39"/>
      <c r="AE319" s="39"/>
      <c r="AF319" s="39"/>
      <c r="AG319" s="39"/>
      <c r="AH319" s="39"/>
    </row>
    <row r="320" spans="1:34" s="84" customFormat="1" x14ac:dyDescent="0.25">
      <c r="A320" s="39" t="s">
        <v>624</v>
      </c>
      <c r="B320" s="46" t="s">
        <v>251</v>
      </c>
      <c r="C320" s="39" t="s">
        <v>618</v>
      </c>
      <c r="D320" s="102">
        <v>370608224</v>
      </c>
      <c r="E320" s="102">
        <v>2521535362</v>
      </c>
      <c r="F320" s="39" t="s">
        <v>256</v>
      </c>
      <c r="G320" s="81">
        <f>36861+(364+182)</f>
        <v>37407</v>
      </c>
      <c r="H320" s="50" t="str">
        <f t="shared" si="12"/>
        <v>May</v>
      </c>
      <c r="I320" s="51">
        <f t="shared" ca="1" si="13"/>
        <v>14</v>
      </c>
      <c r="J320" s="52" t="s">
        <v>257</v>
      </c>
      <c r="K320" s="53">
        <v>59140</v>
      </c>
      <c r="L320" s="54">
        <v>5</v>
      </c>
      <c r="M320" s="59">
        <f t="shared" si="14"/>
        <v>59140</v>
      </c>
      <c r="N320" s="100"/>
      <c r="O320" s="45"/>
      <c r="P320" s="39"/>
      <c r="Q320" s="39"/>
      <c r="R320" s="39"/>
      <c r="S320" s="39"/>
      <c r="T320" s="39"/>
      <c r="U320" s="39"/>
      <c r="V320" s="39"/>
      <c r="W320" s="39"/>
      <c r="X320" s="39"/>
      <c r="Y320" s="39"/>
      <c r="Z320" s="39"/>
      <c r="AA320" s="39"/>
      <c r="AB320" s="39"/>
      <c r="AC320" s="39"/>
      <c r="AD320" s="39"/>
      <c r="AE320" s="39"/>
      <c r="AF320" s="39"/>
      <c r="AG320" s="39"/>
      <c r="AH320" s="39"/>
    </row>
    <row r="321" spans="1:34" s="84" customFormat="1" x14ac:dyDescent="0.25">
      <c r="A321" s="39" t="s">
        <v>437</v>
      </c>
      <c r="B321" s="46" t="s">
        <v>285</v>
      </c>
      <c r="C321" s="39" t="s">
        <v>417</v>
      </c>
      <c r="D321" s="102">
        <v>541365827</v>
      </c>
      <c r="E321" s="102">
        <v>2525317859</v>
      </c>
      <c r="F321" s="39" t="s">
        <v>256</v>
      </c>
      <c r="G321" s="81">
        <f>37589+(364+182)</f>
        <v>38135</v>
      </c>
      <c r="H321" s="50" t="str">
        <f t="shared" si="12"/>
        <v>May</v>
      </c>
      <c r="I321" s="51">
        <f t="shared" ca="1" si="13"/>
        <v>12</v>
      </c>
      <c r="J321" s="52" t="s">
        <v>267</v>
      </c>
      <c r="K321" s="53">
        <v>65560</v>
      </c>
      <c r="L321" s="54">
        <v>1</v>
      </c>
      <c r="M321" s="59">
        <f t="shared" si="14"/>
        <v>65560</v>
      </c>
      <c r="N321" s="100"/>
      <c r="O321" s="45"/>
      <c r="P321" s="39"/>
      <c r="Q321" s="39"/>
      <c r="R321" s="39"/>
      <c r="S321" s="39"/>
      <c r="T321" s="39"/>
      <c r="U321" s="39"/>
      <c r="V321" s="39"/>
      <c r="W321" s="39"/>
      <c r="X321" s="39"/>
      <c r="Y321" s="39"/>
      <c r="Z321" s="39"/>
      <c r="AA321" s="39"/>
      <c r="AB321" s="39"/>
      <c r="AC321" s="39"/>
      <c r="AD321" s="39"/>
      <c r="AE321" s="39"/>
      <c r="AF321" s="39"/>
      <c r="AG321" s="39"/>
      <c r="AH321" s="39"/>
    </row>
    <row r="322" spans="1:34" x14ac:dyDescent="0.25">
      <c r="A322" s="39" t="s">
        <v>674</v>
      </c>
      <c r="B322" s="46" t="s">
        <v>251</v>
      </c>
      <c r="C322" s="39" t="s">
        <v>626</v>
      </c>
      <c r="D322" s="102">
        <v>788451186</v>
      </c>
      <c r="E322" s="102">
        <v>9191682521</v>
      </c>
      <c r="F322" s="39" t="s">
        <v>247</v>
      </c>
      <c r="G322" s="81">
        <f>37950+(364+182)</f>
        <v>38496</v>
      </c>
      <c r="H322" s="50" t="str">
        <f t="shared" si="12"/>
        <v>May</v>
      </c>
      <c r="I322" s="51">
        <f t="shared" ca="1" si="13"/>
        <v>11</v>
      </c>
      <c r="J322" s="52"/>
      <c r="K322" s="53">
        <v>57520</v>
      </c>
      <c r="L322" s="54">
        <v>3</v>
      </c>
      <c r="M322" s="59">
        <f t="shared" si="14"/>
        <v>57520</v>
      </c>
    </row>
    <row r="323" spans="1:34" x14ac:dyDescent="0.25">
      <c r="A323" s="39" t="s">
        <v>838</v>
      </c>
      <c r="B323" s="46" t="s">
        <v>266</v>
      </c>
      <c r="C323" s="39" t="s">
        <v>767</v>
      </c>
      <c r="D323" s="102">
        <v>289103201</v>
      </c>
      <c r="E323" s="102">
        <v>9192921836</v>
      </c>
      <c r="F323" s="39" t="s">
        <v>256</v>
      </c>
      <c r="G323" s="81">
        <f>38671+(364+182)</f>
        <v>39217</v>
      </c>
      <c r="H323" s="50" t="str">
        <f t="shared" ref="H323:H386" si="15">CHOOSE(MONTH(G323),"Jan","Feb","Mar","Apr","May","Jun","Jul","Aug","Sep","Oct","Nov","Dec")</f>
        <v>May</v>
      </c>
      <c r="I323" s="51">
        <f t="shared" ref="I323:I386" ca="1" si="16">DATEDIF(G323,TODAY(),"Y")</f>
        <v>9</v>
      </c>
      <c r="J323" s="52" t="s">
        <v>257</v>
      </c>
      <c r="K323" s="53">
        <v>73830</v>
      </c>
      <c r="L323" s="54">
        <v>2</v>
      </c>
      <c r="M323" s="59">
        <f t="shared" ref="M323:M386" si="17">ROUND(K323*P321+K323,0)</f>
        <v>73830</v>
      </c>
    </row>
    <row r="324" spans="1:34" x14ac:dyDescent="0.25">
      <c r="A324" s="39" t="s">
        <v>342</v>
      </c>
      <c r="B324" s="46" t="s">
        <v>285</v>
      </c>
      <c r="C324" s="39" t="s">
        <v>312</v>
      </c>
      <c r="D324" s="102">
        <v>653843221</v>
      </c>
      <c r="E324" s="102">
        <v>9197713771</v>
      </c>
      <c r="F324" s="39" t="s">
        <v>247</v>
      </c>
      <c r="G324" s="81">
        <f>39413+(364+182)</f>
        <v>39959</v>
      </c>
      <c r="H324" s="50" t="str">
        <f t="shared" si="15"/>
        <v>May</v>
      </c>
      <c r="I324" s="51">
        <f t="shared" ca="1" si="16"/>
        <v>7</v>
      </c>
      <c r="J324" s="52"/>
      <c r="K324" s="53">
        <v>79460</v>
      </c>
      <c r="L324" s="54">
        <v>5</v>
      </c>
      <c r="M324" s="59">
        <f t="shared" si="17"/>
        <v>79460</v>
      </c>
    </row>
    <row r="325" spans="1:34" x14ac:dyDescent="0.25">
      <c r="A325" s="39" t="s">
        <v>385</v>
      </c>
      <c r="B325" s="46" t="s">
        <v>271</v>
      </c>
      <c r="C325" s="39" t="s">
        <v>381</v>
      </c>
      <c r="D325" s="102">
        <v>651995963</v>
      </c>
      <c r="E325" s="102">
        <v>9194944945</v>
      </c>
      <c r="F325" s="39" t="s">
        <v>252</v>
      </c>
      <c r="G325" s="103">
        <f>39767+(364+182)</f>
        <v>40313</v>
      </c>
      <c r="H325" s="50" t="str">
        <f t="shared" si="15"/>
        <v>May</v>
      </c>
      <c r="I325" s="51">
        <f t="shared" ca="1" si="16"/>
        <v>6</v>
      </c>
      <c r="J325" s="52"/>
      <c r="K325" s="53">
        <v>27484</v>
      </c>
      <c r="L325" s="54">
        <v>4</v>
      </c>
      <c r="M325" s="59">
        <f t="shared" si="17"/>
        <v>27484</v>
      </c>
      <c r="O325" s="101"/>
    </row>
    <row r="326" spans="1:34" x14ac:dyDescent="0.25">
      <c r="A326" s="39" t="s">
        <v>623</v>
      </c>
      <c r="B326" s="46" t="s">
        <v>266</v>
      </c>
      <c r="C326" s="39" t="s">
        <v>618</v>
      </c>
      <c r="D326" s="102">
        <v>723930767</v>
      </c>
      <c r="E326" s="102">
        <v>9191375297</v>
      </c>
      <c r="F326" s="39" t="s">
        <v>256</v>
      </c>
      <c r="G326" s="103">
        <f>39767+(364+182)</f>
        <v>40313</v>
      </c>
      <c r="H326" s="50" t="str">
        <f t="shared" si="15"/>
        <v>May</v>
      </c>
      <c r="I326" s="51">
        <f t="shared" ca="1" si="16"/>
        <v>6</v>
      </c>
      <c r="J326" s="52" t="s">
        <v>283</v>
      </c>
      <c r="K326" s="53">
        <v>27250</v>
      </c>
      <c r="L326" s="54">
        <v>5</v>
      </c>
      <c r="M326" s="59">
        <f t="shared" si="17"/>
        <v>27250</v>
      </c>
    </row>
    <row r="327" spans="1:34" x14ac:dyDescent="0.25">
      <c r="A327" s="39" t="s">
        <v>615</v>
      </c>
      <c r="B327" s="46" t="s">
        <v>271</v>
      </c>
      <c r="C327" s="39" t="s">
        <v>465</v>
      </c>
      <c r="D327" s="102">
        <v>843064707</v>
      </c>
      <c r="E327" s="102">
        <v>9192687844</v>
      </c>
      <c r="F327" s="39" t="s">
        <v>247</v>
      </c>
      <c r="G327" s="103">
        <f>40134+(364+182)</f>
        <v>40680</v>
      </c>
      <c r="H327" s="50" t="str">
        <f t="shared" si="15"/>
        <v>May</v>
      </c>
      <c r="I327" s="51">
        <f t="shared" ca="1" si="16"/>
        <v>5</v>
      </c>
      <c r="J327" s="52"/>
      <c r="K327" s="53">
        <v>57110</v>
      </c>
      <c r="L327" s="54">
        <v>3</v>
      </c>
      <c r="M327" s="59">
        <f t="shared" si="17"/>
        <v>57110</v>
      </c>
    </row>
    <row r="328" spans="1:34" x14ac:dyDescent="0.25">
      <c r="A328" s="39" t="s">
        <v>990</v>
      </c>
      <c r="B328" s="46" t="s">
        <v>271</v>
      </c>
      <c r="C328" s="39" t="s">
        <v>930</v>
      </c>
      <c r="D328" s="102">
        <v>308317457</v>
      </c>
      <c r="E328" s="102">
        <v>9192729524</v>
      </c>
      <c r="F328" s="39" t="s">
        <v>256</v>
      </c>
      <c r="G328" s="103">
        <f>40134+(364+182)</f>
        <v>40680</v>
      </c>
      <c r="H328" s="50" t="str">
        <f t="shared" si="15"/>
        <v>May</v>
      </c>
      <c r="I328" s="51">
        <f t="shared" ca="1" si="16"/>
        <v>5</v>
      </c>
      <c r="J328" s="52" t="s">
        <v>257</v>
      </c>
      <c r="K328" s="53">
        <v>23030</v>
      </c>
      <c r="L328" s="54">
        <v>4</v>
      </c>
      <c r="M328" s="59">
        <f t="shared" si="17"/>
        <v>23030</v>
      </c>
    </row>
    <row r="329" spans="1:34" x14ac:dyDescent="0.25">
      <c r="A329" s="39" t="s">
        <v>1009</v>
      </c>
      <c r="B329" s="46" t="s">
        <v>271</v>
      </c>
      <c r="C329" s="39" t="s">
        <v>930</v>
      </c>
      <c r="D329" s="102">
        <v>159594851</v>
      </c>
      <c r="E329" s="102">
        <v>9194084456</v>
      </c>
      <c r="F329" s="39" t="s">
        <v>256</v>
      </c>
      <c r="G329" s="103">
        <f>40134+(364+182)</f>
        <v>40680</v>
      </c>
      <c r="H329" s="50" t="str">
        <f t="shared" si="15"/>
        <v>May</v>
      </c>
      <c r="I329" s="51">
        <f t="shared" ca="1" si="16"/>
        <v>5</v>
      </c>
      <c r="J329" s="52" t="s">
        <v>276</v>
      </c>
      <c r="K329" s="53">
        <v>40260</v>
      </c>
      <c r="L329" s="54">
        <v>5</v>
      </c>
      <c r="M329" s="59">
        <f t="shared" si="17"/>
        <v>40260</v>
      </c>
    </row>
    <row r="330" spans="1:34" x14ac:dyDescent="0.25">
      <c r="A330" s="39" t="s">
        <v>962</v>
      </c>
      <c r="B330" s="46" t="s">
        <v>285</v>
      </c>
      <c r="C330" s="39" t="s">
        <v>930</v>
      </c>
      <c r="D330" s="102">
        <v>277423593</v>
      </c>
      <c r="E330" s="102">
        <v>9195790921</v>
      </c>
      <c r="F330" s="39" t="s">
        <v>261</v>
      </c>
      <c r="G330" s="81">
        <f>32845+(364+182)</f>
        <v>33391</v>
      </c>
      <c r="H330" s="50" t="str">
        <f t="shared" si="15"/>
        <v>Jun</v>
      </c>
      <c r="I330" s="51">
        <f t="shared" ca="1" si="16"/>
        <v>25</v>
      </c>
      <c r="J330" s="52" t="s">
        <v>283</v>
      </c>
      <c r="K330" s="53">
        <v>13455</v>
      </c>
      <c r="L330" s="54">
        <v>2</v>
      </c>
      <c r="M330" s="59">
        <f t="shared" si="17"/>
        <v>13455</v>
      </c>
    </row>
    <row r="331" spans="1:34" x14ac:dyDescent="0.25">
      <c r="A331" s="39" t="s">
        <v>989</v>
      </c>
      <c r="B331" s="46" t="s">
        <v>245</v>
      </c>
      <c r="C331" s="39" t="s">
        <v>930</v>
      </c>
      <c r="D331" s="102">
        <v>877574472</v>
      </c>
      <c r="E331" s="102">
        <v>2524100997</v>
      </c>
      <c r="F331" s="39" t="s">
        <v>247</v>
      </c>
      <c r="G331" s="81">
        <f>32855+(364+182)</f>
        <v>33401</v>
      </c>
      <c r="H331" s="50" t="str">
        <f t="shared" si="15"/>
        <v>Jun</v>
      </c>
      <c r="I331" s="51">
        <f t="shared" ca="1" si="16"/>
        <v>25</v>
      </c>
      <c r="J331" s="52"/>
      <c r="K331" s="53">
        <v>34680</v>
      </c>
      <c r="L331" s="54">
        <v>5</v>
      </c>
      <c r="M331" s="59">
        <f t="shared" si="17"/>
        <v>34680</v>
      </c>
    </row>
    <row r="332" spans="1:34" x14ac:dyDescent="0.25">
      <c r="A332" s="39" t="s">
        <v>832</v>
      </c>
      <c r="B332" s="46" t="s">
        <v>271</v>
      </c>
      <c r="C332" s="39" t="s">
        <v>767</v>
      </c>
      <c r="D332" s="102">
        <v>462650472</v>
      </c>
      <c r="E332" s="102">
        <v>2521276517</v>
      </c>
      <c r="F332" s="39" t="s">
        <v>247</v>
      </c>
      <c r="G332" s="81">
        <f>32856+(364+182)</f>
        <v>33402</v>
      </c>
      <c r="H332" s="50" t="str">
        <f t="shared" si="15"/>
        <v>Jun</v>
      </c>
      <c r="I332" s="51">
        <f t="shared" ca="1" si="16"/>
        <v>25</v>
      </c>
      <c r="J332" s="52"/>
      <c r="K332" s="53">
        <v>79380</v>
      </c>
      <c r="L332" s="54">
        <v>1</v>
      </c>
      <c r="M332" s="59">
        <f t="shared" si="17"/>
        <v>79380</v>
      </c>
    </row>
    <row r="333" spans="1:34" x14ac:dyDescent="0.25">
      <c r="A333" s="39" t="s">
        <v>428</v>
      </c>
      <c r="B333" s="46" t="s">
        <v>271</v>
      </c>
      <c r="C333" s="39" t="s">
        <v>417</v>
      </c>
      <c r="D333" s="102">
        <v>503349830</v>
      </c>
      <c r="E333" s="102">
        <v>9191999230</v>
      </c>
      <c r="F333" s="39" t="s">
        <v>256</v>
      </c>
      <c r="G333" s="81">
        <f>32859+(364+182)</f>
        <v>33405</v>
      </c>
      <c r="H333" s="50" t="str">
        <f t="shared" si="15"/>
        <v>Jun</v>
      </c>
      <c r="I333" s="51">
        <f t="shared" ca="1" si="16"/>
        <v>25</v>
      </c>
      <c r="J333" s="52" t="s">
        <v>283</v>
      </c>
      <c r="K333" s="53">
        <v>32140</v>
      </c>
      <c r="L333" s="54">
        <v>2</v>
      </c>
      <c r="M333" s="59">
        <f t="shared" si="17"/>
        <v>32140</v>
      </c>
    </row>
    <row r="334" spans="1:34" x14ac:dyDescent="0.25">
      <c r="A334" s="39" t="s">
        <v>641</v>
      </c>
      <c r="B334" s="46" t="s">
        <v>251</v>
      </c>
      <c r="C334" s="39" t="s">
        <v>626</v>
      </c>
      <c r="D334" s="102">
        <v>154984918</v>
      </c>
      <c r="E334" s="102">
        <v>2521575684</v>
      </c>
      <c r="F334" s="39" t="s">
        <v>256</v>
      </c>
      <c r="G334" s="81">
        <f>32861+(364+182)</f>
        <v>33407</v>
      </c>
      <c r="H334" s="50" t="str">
        <f t="shared" si="15"/>
        <v>Jun</v>
      </c>
      <c r="I334" s="51">
        <f t="shared" ca="1" si="16"/>
        <v>25</v>
      </c>
      <c r="J334" s="52" t="s">
        <v>257</v>
      </c>
      <c r="K334" s="53">
        <v>22900</v>
      </c>
      <c r="L334" s="54">
        <v>1</v>
      </c>
      <c r="M334" s="59">
        <f t="shared" si="17"/>
        <v>22900</v>
      </c>
    </row>
    <row r="335" spans="1:34" x14ac:dyDescent="0.25">
      <c r="A335" s="39" t="s">
        <v>994</v>
      </c>
      <c r="B335" s="46" t="s">
        <v>280</v>
      </c>
      <c r="C335" s="39" t="s">
        <v>930</v>
      </c>
      <c r="D335" s="102">
        <v>643984096</v>
      </c>
      <c r="E335" s="102">
        <v>9191630739</v>
      </c>
      <c r="F335" s="39" t="s">
        <v>247</v>
      </c>
      <c r="G335" s="81">
        <f>32867+(364+182)</f>
        <v>33413</v>
      </c>
      <c r="H335" s="50" t="str">
        <f t="shared" si="15"/>
        <v>Jun</v>
      </c>
      <c r="I335" s="51">
        <f t="shared" ca="1" si="16"/>
        <v>25</v>
      </c>
      <c r="J335" s="52"/>
      <c r="K335" s="53">
        <v>26020</v>
      </c>
      <c r="L335" s="54">
        <v>5</v>
      </c>
      <c r="M335" s="59">
        <f t="shared" si="17"/>
        <v>26020</v>
      </c>
    </row>
    <row r="336" spans="1:34" x14ac:dyDescent="0.25">
      <c r="A336" s="39" t="s">
        <v>631</v>
      </c>
      <c r="B336" s="46" t="s">
        <v>251</v>
      </c>
      <c r="C336" s="39" t="s">
        <v>626</v>
      </c>
      <c r="D336" s="102">
        <v>159415552</v>
      </c>
      <c r="E336" s="102">
        <v>9194221208</v>
      </c>
      <c r="F336" s="39" t="s">
        <v>256</v>
      </c>
      <c r="G336" s="81">
        <f>33219+(364+182)</f>
        <v>33765</v>
      </c>
      <c r="H336" s="50" t="str">
        <f t="shared" si="15"/>
        <v>Jun</v>
      </c>
      <c r="I336" s="51">
        <f t="shared" ca="1" si="16"/>
        <v>24</v>
      </c>
      <c r="J336" s="52" t="s">
        <v>262</v>
      </c>
      <c r="K336" s="53">
        <v>73930</v>
      </c>
      <c r="L336" s="54">
        <v>1</v>
      </c>
      <c r="M336" s="59">
        <f t="shared" si="17"/>
        <v>73930</v>
      </c>
    </row>
    <row r="337" spans="1:34" x14ac:dyDescent="0.25">
      <c r="A337" s="39" t="s">
        <v>512</v>
      </c>
      <c r="B337" s="46" t="s">
        <v>285</v>
      </c>
      <c r="C337" s="39" t="s">
        <v>465</v>
      </c>
      <c r="D337" s="102">
        <v>428024993</v>
      </c>
      <c r="E337" s="102">
        <v>9196410575</v>
      </c>
      <c r="F337" s="39" t="s">
        <v>247</v>
      </c>
      <c r="G337" s="81">
        <f>33228+(364+182)</f>
        <v>33774</v>
      </c>
      <c r="H337" s="50" t="str">
        <f t="shared" si="15"/>
        <v>Jun</v>
      </c>
      <c r="I337" s="51">
        <f t="shared" ca="1" si="16"/>
        <v>24</v>
      </c>
      <c r="J337" s="52"/>
      <c r="K337" s="53">
        <v>32190</v>
      </c>
      <c r="L337" s="54">
        <v>3</v>
      </c>
      <c r="M337" s="59">
        <f t="shared" si="17"/>
        <v>32190</v>
      </c>
    </row>
    <row r="338" spans="1:34" s="84" customFormat="1" x14ac:dyDescent="0.25">
      <c r="A338" s="39" t="s">
        <v>988</v>
      </c>
      <c r="B338" s="46" t="s">
        <v>285</v>
      </c>
      <c r="C338" s="39" t="s">
        <v>930</v>
      </c>
      <c r="D338" s="102">
        <v>763182349</v>
      </c>
      <c r="E338" s="102">
        <v>2527780776</v>
      </c>
      <c r="F338" s="39" t="s">
        <v>247</v>
      </c>
      <c r="G338" s="81">
        <f>33580+(364+182)</f>
        <v>34126</v>
      </c>
      <c r="H338" s="50" t="str">
        <f t="shared" si="15"/>
        <v>Jun</v>
      </c>
      <c r="I338" s="51">
        <f t="shared" ca="1" si="16"/>
        <v>23</v>
      </c>
      <c r="J338" s="52"/>
      <c r="K338" s="53">
        <v>75550</v>
      </c>
      <c r="L338" s="54">
        <v>3</v>
      </c>
      <c r="M338" s="59">
        <f t="shared" si="17"/>
        <v>75550</v>
      </c>
      <c r="N338" s="100"/>
      <c r="O338" s="45"/>
      <c r="P338" s="39"/>
      <c r="Q338" s="39"/>
      <c r="R338" s="39"/>
      <c r="S338" s="39"/>
      <c r="T338" s="39"/>
      <c r="U338" s="39"/>
      <c r="V338" s="39"/>
      <c r="W338" s="39"/>
      <c r="X338" s="39"/>
      <c r="Y338" s="39"/>
      <c r="Z338" s="39"/>
      <c r="AA338" s="39"/>
      <c r="AB338" s="39"/>
      <c r="AC338" s="39"/>
      <c r="AD338" s="39"/>
      <c r="AE338" s="39"/>
      <c r="AF338" s="39"/>
      <c r="AG338" s="39"/>
      <c r="AH338" s="39"/>
    </row>
    <row r="339" spans="1:34" s="84" customFormat="1" x14ac:dyDescent="0.25">
      <c r="A339" s="39" t="s">
        <v>1015</v>
      </c>
      <c r="B339" s="46" t="s">
        <v>280</v>
      </c>
      <c r="C339" s="39" t="s">
        <v>930</v>
      </c>
      <c r="D339" s="102">
        <v>641962645</v>
      </c>
      <c r="E339" s="102">
        <v>9196965088</v>
      </c>
      <c r="F339" s="39" t="s">
        <v>247</v>
      </c>
      <c r="G339" s="81">
        <f>33589+(364+182)</f>
        <v>34135</v>
      </c>
      <c r="H339" s="50" t="str">
        <f t="shared" si="15"/>
        <v>Jun</v>
      </c>
      <c r="I339" s="51">
        <f t="shared" ca="1" si="16"/>
        <v>23</v>
      </c>
      <c r="J339" s="52"/>
      <c r="K339" s="53">
        <v>78590</v>
      </c>
      <c r="L339" s="54">
        <v>1</v>
      </c>
      <c r="M339" s="59">
        <f t="shared" si="17"/>
        <v>78590</v>
      </c>
      <c r="N339" s="100"/>
      <c r="O339" s="45"/>
      <c r="P339" s="39"/>
      <c r="Q339" s="39"/>
      <c r="R339" s="39"/>
      <c r="S339" s="39"/>
      <c r="T339" s="39"/>
      <c r="U339" s="39"/>
      <c r="V339" s="39"/>
      <c r="W339" s="39"/>
      <c r="X339" s="39"/>
      <c r="Y339" s="39"/>
      <c r="Z339" s="39"/>
      <c r="AA339" s="39"/>
      <c r="AB339" s="39"/>
      <c r="AC339" s="39"/>
      <c r="AD339" s="39"/>
      <c r="AE339" s="39"/>
      <c r="AF339" s="39"/>
      <c r="AG339" s="39"/>
      <c r="AH339" s="39"/>
    </row>
    <row r="340" spans="1:34" s="84" customFormat="1" x14ac:dyDescent="0.25">
      <c r="A340" s="39" t="s">
        <v>948</v>
      </c>
      <c r="B340" s="46" t="s">
        <v>285</v>
      </c>
      <c r="C340" s="39" t="s">
        <v>930</v>
      </c>
      <c r="D340" s="102">
        <v>891224981</v>
      </c>
      <c r="E340" s="102">
        <v>2526391402</v>
      </c>
      <c r="F340" s="39" t="s">
        <v>261</v>
      </c>
      <c r="G340" s="81">
        <f>33594+(364+182)</f>
        <v>34140</v>
      </c>
      <c r="H340" s="50" t="str">
        <f t="shared" si="15"/>
        <v>Jun</v>
      </c>
      <c r="I340" s="51">
        <f t="shared" ca="1" si="16"/>
        <v>23</v>
      </c>
      <c r="J340" s="52" t="s">
        <v>276</v>
      </c>
      <c r="K340" s="53">
        <v>11230</v>
      </c>
      <c r="L340" s="54">
        <v>4</v>
      </c>
      <c r="M340" s="59">
        <f t="shared" si="17"/>
        <v>11230</v>
      </c>
      <c r="N340" s="100"/>
      <c r="O340" s="45"/>
      <c r="P340" s="39"/>
      <c r="Q340" s="39"/>
      <c r="R340" s="39"/>
      <c r="S340" s="39"/>
      <c r="T340" s="39"/>
      <c r="U340" s="39"/>
      <c r="V340" s="39"/>
      <c r="W340" s="39"/>
      <c r="X340" s="39"/>
      <c r="Y340" s="39"/>
      <c r="Z340" s="39"/>
      <c r="AA340" s="39"/>
      <c r="AB340" s="39"/>
      <c r="AC340" s="39"/>
      <c r="AD340" s="39"/>
      <c r="AE340" s="39"/>
      <c r="AF340" s="39"/>
      <c r="AG340" s="39"/>
      <c r="AH340" s="39"/>
    </row>
    <row r="341" spans="1:34" s="84" customFormat="1" x14ac:dyDescent="0.25">
      <c r="A341" s="39" t="s">
        <v>498</v>
      </c>
      <c r="B341" s="46" t="s">
        <v>271</v>
      </c>
      <c r="C341" s="39" t="s">
        <v>465</v>
      </c>
      <c r="D341" s="102">
        <v>220781349</v>
      </c>
      <c r="E341" s="102">
        <v>2525185281</v>
      </c>
      <c r="F341" s="39" t="s">
        <v>247</v>
      </c>
      <c r="G341" s="81">
        <f>33603+(364+182)</f>
        <v>34149</v>
      </c>
      <c r="H341" s="50" t="str">
        <f t="shared" si="15"/>
        <v>Jun</v>
      </c>
      <c r="I341" s="51">
        <f t="shared" ca="1" si="16"/>
        <v>23</v>
      </c>
      <c r="J341" s="52"/>
      <c r="K341" s="53">
        <v>45770</v>
      </c>
      <c r="L341" s="54">
        <v>5</v>
      </c>
      <c r="M341" s="59">
        <f t="shared" si="17"/>
        <v>45770</v>
      </c>
      <c r="N341" s="100"/>
      <c r="O341" s="45"/>
      <c r="P341" s="39"/>
      <c r="Q341" s="39"/>
      <c r="R341" s="39"/>
      <c r="S341" s="39"/>
      <c r="T341" s="39"/>
      <c r="U341" s="39"/>
      <c r="V341" s="39"/>
      <c r="W341" s="39"/>
      <c r="X341" s="39"/>
      <c r="Y341" s="39"/>
      <c r="Z341" s="39"/>
      <c r="AA341" s="39"/>
      <c r="AB341" s="39"/>
      <c r="AC341" s="39"/>
      <c r="AD341" s="39"/>
      <c r="AE341" s="39"/>
      <c r="AF341" s="39"/>
      <c r="AG341" s="39"/>
      <c r="AH341" s="39"/>
    </row>
    <row r="342" spans="1:34" s="84" customFormat="1" x14ac:dyDescent="0.25">
      <c r="A342" s="39" t="s">
        <v>779</v>
      </c>
      <c r="B342" s="46" t="s">
        <v>285</v>
      </c>
      <c r="C342" s="39" t="s">
        <v>767</v>
      </c>
      <c r="D342" s="102">
        <v>967035612</v>
      </c>
      <c r="E342" s="102">
        <v>2528842613</v>
      </c>
      <c r="F342" s="39" t="s">
        <v>256</v>
      </c>
      <c r="G342" s="81">
        <f>33603+(364+182)</f>
        <v>34149</v>
      </c>
      <c r="H342" s="50" t="str">
        <f t="shared" si="15"/>
        <v>Jun</v>
      </c>
      <c r="I342" s="51">
        <f t="shared" ca="1" si="16"/>
        <v>23</v>
      </c>
      <c r="J342" s="52" t="s">
        <v>276</v>
      </c>
      <c r="K342" s="53">
        <v>63440</v>
      </c>
      <c r="L342" s="54">
        <v>3</v>
      </c>
      <c r="M342" s="59">
        <f t="shared" si="17"/>
        <v>63440</v>
      </c>
      <c r="N342" s="100"/>
      <c r="O342" s="45"/>
      <c r="P342" s="39"/>
      <c r="Q342" s="39"/>
      <c r="R342" s="39"/>
      <c r="S342" s="39"/>
      <c r="T342" s="39"/>
      <c r="U342" s="39"/>
      <c r="V342" s="39"/>
      <c r="W342" s="39"/>
      <c r="X342" s="39"/>
      <c r="Y342" s="39"/>
      <c r="Z342" s="39"/>
      <c r="AA342" s="39"/>
      <c r="AB342" s="39"/>
      <c r="AC342" s="39"/>
      <c r="AD342" s="39"/>
      <c r="AE342" s="39"/>
      <c r="AF342" s="39"/>
      <c r="AG342" s="39"/>
      <c r="AH342" s="39"/>
    </row>
    <row r="343" spans="1:34" s="84" customFormat="1" x14ac:dyDescent="0.25">
      <c r="A343" s="39" t="s">
        <v>716</v>
      </c>
      <c r="B343" s="46" t="s">
        <v>251</v>
      </c>
      <c r="C343" s="39" t="s">
        <v>705</v>
      </c>
      <c r="D343" s="102">
        <v>761337848</v>
      </c>
      <c r="E343" s="102">
        <v>9193967339</v>
      </c>
      <c r="F343" s="39" t="s">
        <v>247</v>
      </c>
      <c r="G343" s="81">
        <f>33956+(364+182)</f>
        <v>34502</v>
      </c>
      <c r="H343" s="50" t="str">
        <f t="shared" si="15"/>
        <v>Jun</v>
      </c>
      <c r="I343" s="51">
        <f t="shared" ca="1" si="16"/>
        <v>22</v>
      </c>
      <c r="J343" s="52"/>
      <c r="K343" s="53">
        <v>66710</v>
      </c>
      <c r="L343" s="54">
        <v>2</v>
      </c>
      <c r="M343" s="59">
        <f t="shared" si="17"/>
        <v>66710</v>
      </c>
      <c r="N343" s="100"/>
      <c r="O343" s="45"/>
      <c r="P343" s="39"/>
      <c r="Q343" s="39"/>
      <c r="R343" s="39"/>
      <c r="S343" s="39"/>
      <c r="T343" s="39"/>
      <c r="U343" s="39"/>
      <c r="V343" s="39"/>
      <c r="W343" s="39"/>
      <c r="X343" s="39"/>
      <c r="Y343" s="39"/>
      <c r="Z343" s="39"/>
      <c r="AA343" s="39"/>
      <c r="AB343" s="39"/>
      <c r="AC343" s="39"/>
      <c r="AD343" s="39"/>
      <c r="AE343" s="39"/>
      <c r="AF343" s="39"/>
      <c r="AG343" s="39"/>
      <c r="AH343" s="39"/>
    </row>
    <row r="344" spans="1:34" s="84" customFormat="1" x14ac:dyDescent="0.25">
      <c r="A344" s="39" t="s">
        <v>637</v>
      </c>
      <c r="B344" s="46" t="s">
        <v>285</v>
      </c>
      <c r="C344" s="39" t="s">
        <v>626</v>
      </c>
      <c r="D344" s="102">
        <v>385074661</v>
      </c>
      <c r="E344" s="102">
        <v>2527451745</v>
      </c>
      <c r="F344" s="39" t="s">
        <v>256</v>
      </c>
      <c r="G344" s="81">
        <f>34329+(364+182)</f>
        <v>34875</v>
      </c>
      <c r="H344" s="50" t="str">
        <f t="shared" si="15"/>
        <v>Jun</v>
      </c>
      <c r="I344" s="51">
        <f t="shared" ca="1" si="16"/>
        <v>21</v>
      </c>
      <c r="J344" s="52" t="s">
        <v>276</v>
      </c>
      <c r="K344" s="53">
        <v>66920</v>
      </c>
      <c r="L344" s="54">
        <v>2</v>
      </c>
      <c r="M344" s="59">
        <f t="shared" si="17"/>
        <v>66920</v>
      </c>
      <c r="N344" s="100"/>
      <c r="O344" s="45"/>
      <c r="P344" s="39"/>
      <c r="Q344" s="39"/>
      <c r="R344" s="39"/>
      <c r="S344" s="39"/>
      <c r="T344" s="39"/>
      <c r="U344" s="39"/>
      <c r="V344" s="39"/>
      <c r="W344" s="39"/>
      <c r="X344" s="39"/>
      <c r="Y344" s="39"/>
      <c r="Z344" s="39"/>
      <c r="AA344" s="39"/>
      <c r="AB344" s="39"/>
      <c r="AC344" s="39"/>
      <c r="AD344" s="39"/>
      <c r="AE344" s="39"/>
      <c r="AF344" s="39"/>
      <c r="AG344" s="39"/>
      <c r="AH344" s="39"/>
    </row>
    <row r="345" spans="1:34" s="84" customFormat="1" x14ac:dyDescent="0.25">
      <c r="A345" s="39" t="s">
        <v>774</v>
      </c>
      <c r="B345" s="46" t="s">
        <v>271</v>
      </c>
      <c r="C345" s="39" t="s">
        <v>767</v>
      </c>
      <c r="D345" s="102">
        <v>214291610</v>
      </c>
      <c r="E345" s="102">
        <v>2523858464</v>
      </c>
      <c r="F345" s="39" t="s">
        <v>256</v>
      </c>
      <c r="G345" s="81">
        <f>34673+(364+182)</f>
        <v>35219</v>
      </c>
      <c r="H345" s="50" t="str">
        <f t="shared" si="15"/>
        <v>Jun</v>
      </c>
      <c r="I345" s="51">
        <f t="shared" ca="1" si="16"/>
        <v>20</v>
      </c>
      <c r="J345" s="52" t="s">
        <v>257</v>
      </c>
      <c r="K345" s="53">
        <v>47340</v>
      </c>
      <c r="L345" s="54">
        <v>2</v>
      </c>
      <c r="M345" s="59">
        <f t="shared" si="17"/>
        <v>47340</v>
      </c>
      <c r="N345" s="100"/>
      <c r="O345" s="45"/>
      <c r="P345" s="39"/>
      <c r="Q345" s="39"/>
      <c r="R345" s="39"/>
      <c r="S345" s="39"/>
      <c r="T345" s="39"/>
      <c r="U345" s="39"/>
      <c r="V345" s="39"/>
      <c r="W345" s="39"/>
      <c r="X345" s="39"/>
      <c r="Y345" s="39"/>
      <c r="Z345" s="39"/>
      <c r="AA345" s="39"/>
      <c r="AB345" s="39"/>
      <c r="AC345" s="39"/>
      <c r="AD345" s="39"/>
      <c r="AE345" s="39"/>
      <c r="AF345" s="39"/>
      <c r="AG345" s="39"/>
      <c r="AH345" s="39"/>
    </row>
    <row r="346" spans="1:34" s="84" customFormat="1" x14ac:dyDescent="0.25">
      <c r="A346" s="39" t="s">
        <v>670</v>
      </c>
      <c r="B346" s="46" t="s">
        <v>245</v>
      </c>
      <c r="C346" s="39" t="s">
        <v>626</v>
      </c>
      <c r="D346" s="102">
        <v>917714039</v>
      </c>
      <c r="E346" s="102">
        <v>9194402150</v>
      </c>
      <c r="F346" s="39" t="s">
        <v>256</v>
      </c>
      <c r="G346" s="81">
        <f>34674+(364+182)</f>
        <v>35220</v>
      </c>
      <c r="H346" s="50" t="str">
        <f t="shared" si="15"/>
        <v>Jun</v>
      </c>
      <c r="I346" s="51">
        <f t="shared" ca="1" si="16"/>
        <v>20</v>
      </c>
      <c r="J346" s="52" t="s">
        <v>267</v>
      </c>
      <c r="K346" s="53">
        <v>70480</v>
      </c>
      <c r="L346" s="54">
        <v>4</v>
      </c>
      <c r="M346" s="59">
        <f t="shared" si="17"/>
        <v>70480</v>
      </c>
      <c r="N346" s="100"/>
      <c r="O346" s="45"/>
      <c r="P346" s="39"/>
      <c r="Q346" s="39"/>
      <c r="R346" s="39"/>
      <c r="S346" s="39"/>
      <c r="T346" s="39"/>
      <c r="U346" s="39"/>
      <c r="V346" s="39"/>
      <c r="W346" s="39"/>
      <c r="X346" s="39"/>
      <c r="Y346" s="39"/>
      <c r="Z346" s="39"/>
      <c r="AA346" s="39"/>
      <c r="AB346" s="39"/>
      <c r="AC346" s="39"/>
      <c r="AD346" s="39"/>
      <c r="AE346" s="39"/>
      <c r="AF346" s="39"/>
      <c r="AG346" s="39"/>
      <c r="AH346" s="39"/>
    </row>
    <row r="347" spans="1:34" s="84" customFormat="1" x14ac:dyDescent="0.25">
      <c r="A347" s="39" t="s">
        <v>566</v>
      </c>
      <c r="B347" s="46" t="s">
        <v>271</v>
      </c>
      <c r="C347" s="39" t="s">
        <v>465</v>
      </c>
      <c r="D347" s="102">
        <v>853268713</v>
      </c>
      <c r="E347" s="102">
        <v>9192712826</v>
      </c>
      <c r="F347" s="39" t="s">
        <v>256</v>
      </c>
      <c r="G347" s="81">
        <f>35043+(364+182)</f>
        <v>35589</v>
      </c>
      <c r="H347" s="50" t="str">
        <f t="shared" si="15"/>
        <v>Jun</v>
      </c>
      <c r="I347" s="51">
        <f t="shared" ca="1" si="16"/>
        <v>19</v>
      </c>
      <c r="J347" s="52" t="s">
        <v>257</v>
      </c>
      <c r="K347" s="53">
        <v>60280</v>
      </c>
      <c r="L347" s="54">
        <v>1</v>
      </c>
      <c r="M347" s="59">
        <f t="shared" si="17"/>
        <v>60280</v>
      </c>
      <c r="N347" s="100"/>
      <c r="O347" s="45"/>
      <c r="P347" s="39"/>
      <c r="Q347" s="39"/>
      <c r="R347" s="39"/>
      <c r="S347" s="39"/>
      <c r="T347" s="39"/>
      <c r="U347" s="39"/>
      <c r="V347" s="39"/>
      <c r="W347" s="39"/>
      <c r="X347" s="39"/>
      <c r="Y347" s="39"/>
      <c r="Z347" s="39"/>
      <c r="AA347" s="39"/>
      <c r="AB347" s="39"/>
      <c r="AC347" s="39"/>
      <c r="AD347" s="39"/>
      <c r="AE347" s="39"/>
      <c r="AF347" s="39"/>
      <c r="AG347" s="39"/>
      <c r="AH347" s="39"/>
    </row>
    <row r="348" spans="1:34" s="84" customFormat="1" x14ac:dyDescent="0.25">
      <c r="A348" s="39" t="s">
        <v>592</v>
      </c>
      <c r="B348" s="46" t="s">
        <v>251</v>
      </c>
      <c r="C348" s="39" t="s">
        <v>465</v>
      </c>
      <c r="D348" s="102">
        <v>696435191</v>
      </c>
      <c r="E348" s="102">
        <v>2527710498</v>
      </c>
      <c r="F348" s="39" t="s">
        <v>256</v>
      </c>
      <c r="G348" s="81">
        <f>35045+(364+182)</f>
        <v>35591</v>
      </c>
      <c r="H348" s="50" t="str">
        <f t="shared" si="15"/>
        <v>Jun</v>
      </c>
      <c r="I348" s="51">
        <f t="shared" ca="1" si="16"/>
        <v>19</v>
      </c>
      <c r="J348" s="52" t="s">
        <v>283</v>
      </c>
      <c r="K348" s="53">
        <v>61150</v>
      </c>
      <c r="L348" s="54">
        <v>2</v>
      </c>
      <c r="M348" s="59">
        <f t="shared" si="17"/>
        <v>61150</v>
      </c>
      <c r="N348" s="100"/>
      <c r="O348" s="45"/>
      <c r="P348" s="39"/>
      <c r="Q348" s="39"/>
      <c r="R348" s="39"/>
      <c r="S348" s="39"/>
      <c r="T348" s="39"/>
      <c r="U348" s="39"/>
      <c r="V348" s="39"/>
      <c r="W348" s="39"/>
      <c r="X348" s="39"/>
      <c r="Y348" s="39"/>
      <c r="Z348" s="39"/>
      <c r="AA348" s="39"/>
      <c r="AB348" s="39"/>
      <c r="AC348" s="39"/>
      <c r="AD348" s="39"/>
      <c r="AE348" s="39"/>
      <c r="AF348" s="39"/>
      <c r="AG348" s="39"/>
      <c r="AH348" s="39"/>
    </row>
    <row r="349" spans="1:34" s="84" customFormat="1" x14ac:dyDescent="0.25">
      <c r="A349" s="39" t="s">
        <v>438</v>
      </c>
      <c r="B349" s="46" t="s">
        <v>271</v>
      </c>
      <c r="C349" s="39" t="s">
        <v>417</v>
      </c>
      <c r="D349" s="102">
        <v>571821715</v>
      </c>
      <c r="E349" s="102">
        <v>2527102355</v>
      </c>
      <c r="F349" s="39" t="s">
        <v>256</v>
      </c>
      <c r="G349" s="81">
        <f>35059+(364+182)</f>
        <v>35605</v>
      </c>
      <c r="H349" s="50" t="str">
        <f t="shared" si="15"/>
        <v>Jun</v>
      </c>
      <c r="I349" s="51">
        <f t="shared" ca="1" si="16"/>
        <v>19</v>
      </c>
      <c r="J349" s="52" t="s">
        <v>283</v>
      </c>
      <c r="K349" s="53">
        <v>56870</v>
      </c>
      <c r="L349" s="54">
        <v>1</v>
      </c>
      <c r="M349" s="59">
        <f t="shared" si="17"/>
        <v>56870</v>
      </c>
      <c r="N349" s="100"/>
      <c r="O349" s="45"/>
      <c r="P349" s="39"/>
      <c r="Q349" s="39"/>
      <c r="R349" s="39"/>
      <c r="S349" s="39"/>
      <c r="T349" s="39"/>
      <c r="U349" s="39"/>
      <c r="V349" s="39"/>
      <c r="W349" s="39"/>
      <c r="X349" s="39"/>
      <c r="Y349" s="39"/>
      <c r="Z349" s="39"/>
      <c r="AA349" s="39"/>
      <c r="AB349" s="39"/>
      <c r="AC349" s="39"/>
      <c r="AD349" s="39"/>
      <c r="AE349" s="39"/>
      <c r="AF349" s="39"/>
      <c r="AG349" s="39"/>
      <c r="AH349" s="39"/>
    </row>
    <row r="350" spans="1:34" s="84" customFormat="1" x14ac:dyDescent="0.25">
      <c r="A350" s="39" t="s">
        <v>814</v>
      </c>
      <c r="B350" s="46" t="s">
        <v>285</v>
      </c>
      <c r="C350" s="39" t="s">
        <v>767</v>
      </c>
      <c r="D350" s="102">
        <v>475671127</v>
      </c>
      <c r="E350" s="102">
        <v>9196650531</v>
      </c>
      <c r="F350" s="39" t="s">
        <v>256</v>
      </c>
      <c r="G350" s="81">
        <f>35412+(364+182)</f>
        <v>35958</v>
      </c>
      <c r="H350" s="50" t="str">
        <f t="shared" si="15"/>
        <v>Jun</v>
      </c>
      <c r="I350" s="51">
        <f t="shared" ca="1" si="16"/>
        <v>18</v>
      </c>
      <c r="J350" s="52" t="s">
        <v>283</v>
      </c>
      <c r="K350" s="53">
        <v>61420</v>
      </c>
      <c r="L350" s="54">
        <v>4</v>
      </c>
      <c r="M350" s="59">
        <f t="shared" si="17"/>
        <v>61420</v>
      </c>
      <c r="N350" s="100"/>
      <c r="O350" s="45"/>
      <c r="P350" s="39"/>
      <c r="Q350" s="39"/>
      <c r="R350" s="39"/>
      <c r="S350" s="39"/>
      <c r="T350" s="39"/>
      <c r="U350" s="39"/>
      <c r="V350" s="39"/>
      <c r="W350" s="39"/>
      <c r="X350" s="39"/>
      <c r="Y350" s="39"/>
      <c r="Z350" s="39"/>
      <c r="AA350" s="39"/>
      <c r="AB350" s="39"/>
      <c r="AC350" s="39"/>
      <c r="AD350" s="39"/>
      <c r="AE350" s="39"/>
      <c r="AF350" s="39"/>
      <c r="AG350" s="39"/>
      <c r="AH350" s="39"/>
    </row>
    <row r="351" spans="1:34" s="84" customFormat="1" x14ac:dyDescent="0.25">
      <c r="A351" s="39" t="s">
        <v>407</v>
      </c>
      <c r="B351" s="46" t="s">
        <v>271</v>
      </c>
      <c r="C351" s="39" t="s">
        <v>391</v>
      </c>
      <c r="D351" s="102">
        <v>526188716</v>
      </c>
      <c r="E351" s="102">
        <v>2527230063</v>
      </c>
      <c r="F351" s="39" t="s">
        <v>247</v>
      </c>
      <c r="G351" s="81">
        <f>35413+(364+182)</f>
        <v>35959</v>
      </c>
      <c r="H351" s="50" t="str">
        <f t="shared" si="15"/>
        <v>Jun</v>
      </c>
      <c r="I351" s="51">
        <f t="shared" ca="1" si="16"/>
        <v>18</v>
      </c>
      <c r="J351" s="52"/>
      <c r="K351" s="53">
        <v>64470</v>
      </c>
      <c r="L351" s="54">
        <v>3</v>
      </c>
      <c r="M351" s="59">
        <f t="shared" si="17"/>
        <v>64470</v>
      </c>
      <c r="N351" s="100"/>
      <c r="O351" s="45"/>
      <c r="P351" s="39"/>
      <c r="Q351" s="39"/>
      <c r="R351" s="39"/>
      <c r="S351" s="39"/>
      <c r="T351" s="39"/>
      <c r="U351" s="39"/>
      <c r="V351" s="39"/>
      <c r="W351" s="39"/>
      <c r="X351" s="39"/>
      <c r="Y351" s="39"/>
      <c r="Z351" s="39"/>
      <c r="AA351" s="39"/>
      <c r="AB351" s="39"/>
      <c r="AC351" s="39"/>
      <c r="AD351" s="39"/>
      <c r="AE351" s="39"/>
      <c r="AF351" s="39"/>
      <c r="AG351" s="39"/>
      <c r="AH351" s="39"/>
    </row>
    <row r="352" spans="1:34" s="84" customFormat="1" x14ac:dyDescent="0.25">
      <c r="A352" s="39" t="s">
        <v>695</v>
      </c>
      <c r="B352" s="46" t="s">
        <v>271</v>
      </c>
      <c r="C352" s="39" t="s">
        <v>678</v>
      </c>
      <c r="D352" s="102">
        <v>122440839</v>
      </c>
      <c r="E352" s="102">
        <v>2526525807</v>
      </c>
      <c r="F352" s="39" t="s">
        <v>261</v>
      </c>
      <c r="G352" s="81">
        <f>35415+(364+182)</f>
        <v>35961</v>
      </c>
      <c r="H352" s="50" t="str">
        <f t="shared" si="15"/>
        <v>Jun</v>
      </c>
      <c r="I352" s="51">
        <f t="shared" ca="1" si="16"/>
        <v>18</v>
      </c>
      <c r="J352" s="52" t="s">
        <v>257</v>
      </c>
      <c r="K352" s="53">
        <v>20500</v>
      </c>
      <c r="L352" s="54">
        <v>3</v>
      </c>
      <c r="M352" s="59">
        <f t="shared" si="17"/>
        <v>20500</v>
      </c>
      <c r="N352" s="100"/>
      <c r="O352" s="45"/>
      <c r="P352" s="39"/>
      <c r="Q352" s="39"/>
      <c r="R352" s="39"/>
      <c r="S352" s="39"/>
      <c r="T352" s="39"/>
      <c r="U352" s="39"/>
      <c r="V352" s="39"/>
      <c r="W352" s="39"/>
      <c r="X352" s="39"/>
      <c r="Y352" s="39"/>
      <c r="Z352" s="39"/>
      <c r="AA352" s="39"/>
      <c r="AB352" s="39"/>
      <c r="AC352" s="39"/>
      <c r="AD352" s="39"/>
      <c r="AE352" s="39"/>
      <c r="AF352" s="39"/>
      <c r="AG352" s="39"/>
      <c r="AH352" s="39"/>
    </row>
    <row r="353" spans="1:34" s="84" customFormat="1" x14ac:dyDescent="0.25">
      <c r="A353" s="39" t="s">
        <v>328</v>
      </c>
      <c r="B353" s="46" t="s">
        <v>245</v>
      </c>
      <c r="C353" s="39" t="s">
        <v>312</v>
      </c>
      <c r="D353" s="102">
        <v>339398339</v>
      </c>
      <c r="E353" s="102">
        <v>2527682821</v>
      </c>
      <c r="F353" s="39" t="s">
        <v>256</v>
      </c>
      <c r="G353" s="81">
        <f>35419+(364+182)</f>
        <v>35965</v>
      </c>
      <c r="H353" s="50" t="str">
        <f t="shared" si="15"/>
        <v>Jun</v>
      </c>
      <c r="I353" s="76">
        <f t="shared" ca="1" si="16"/>
        <v>18</v>
      </c>
      <c r="J353" s="77" t="s">
        <v>267</v>
      </c>
      <c r="K353" s="53">
        <v>34780</v>
      </c>
      <c r="L353" s="54">
        <v>4</v>
      </c>
      <c r="M353" s="59">
        <f t="shared" si="17"/>
        <v>34780</v>
      </c>
      <c r="N353" s="100"/>
      <c r="O353" s="45"/>
      <c r="P353" s="39"/>
      <c r="Q353" s="39"/>
      <c r="R353" s="39"/>
      <c r="S353" s="39"/>
      <c r="T353" s="39"/>
      <c r="U353" s="39"/>
      <c r="V353" s="39"/>
      <c r="W353" s="39"/>
      <c r="X353" s="39"/>
      <c r="Y353" s="39"/>
      <c r="Z353" s="39"/>
      <c r="AA353" s="39"/>
      <c r="AB353" s="39"/>
      <c r="AC353" s="39"/>
      <c r="AD353" s="39"/>
      <c r="AE353" s="39"/>
      <c r="AF353" s="39"/>
      <c r="AG353" s="39"/>
      <c r="AH353" s="39"/>
    </row>
    <row r="354" spans="1:34" s="84" customFormat="1" x14ac:dyDescent="0.25">
      <c r="A354" s="39" t="s">
        <v>739</v>
      </c>
      <c r="B354" s="46" t="s">
        <v>271</v>
      </c>
      <c r="C354" s="39" t="s">
        <v>705</v>
      </c>
      <c r="D354" s="102">
        <v>839899522</v>
      </c>
      <c r="E354" s="102">
        <v>9195512521</v>
      </c>
      <c r="F354" s="39" t="s">
        <v>256</v>
      </c>
      <c r="G354" s="81">
        <f>35423+(364+182)</f>
        <v>35969</v>
      </c>
      <c r="H354" s="50" t="str">
        <f t="shared" si="15"/>
        <v>Jun</v>
      </c>
      <c r="I354" s="51">
        <f t="shared" ca="1" si="16"/>
        <v>18</v>
      </c>
      <c r="J354" s="52" t="s">
        <v>257</v>
      </c>
      <c r="K354" s="53">
        <v>74530</v>
      </c>
      <c r="L354" s="54">
        <v>5</v>
      </c>
      <c r="M354" s="59">
        <f t="shared" si="17"/>
        <v>74530</v>
      </c>
      <c r="N354" s="100"/>
      <c r="O354" s="45"/>
      <c r="P354" s="39"/>
      <c r="Q354" s="39"/>
      <c r="R354" s="39"/>
      <c r="S354" s="39"/>
      <c r="T354" s="39"/>
      <c r="U354" s="39"/>
      <c r="V354" s="39"/>
      <c r="W354" s="39"/>
      <c r="X354" s="39"/>
      <c r="Y354" s="39"/>
      <c r="Z354" s="39"/>
      <c r="AA354" s="39"/>
      <c r="AB354" s="39"/>
      <c r="AC354" s="39"/>
      <c r="AD354" s="39"/>
      <c r="AE354" s="39"/>
      <c r="AF354" s="39"/>
      <c r="AG354" s="39"/>
      <c r="AH354" s="39"/>
    </row>
    <row r="355" spans="1:34" s="84" customFormat="1" x14ac:dyDescent="0.25">
      <c r="A355" s="39" t="s">
        <v>478</v>
      </c>
      <c r="B355" s="46" t="s">
        <v>285</v>
      </c>
      <c r="C355" s="39" t="s">
        <v>465</v>
      </c>
      <c r="D355" s="102">
        <v>725801036</v>
      </c>
      <c r="E355" s="102">
        <v>9195089157</v>
      </c>
      <c r="F355" s="39" t="s">
        <v>247</v>
      </c>
      <c r="G355" s="81">
        <f>35426+(364+182)</f>
        <v>35972</v>
      </c>
      <c r="H355" s="50" t="str">
        <f t="shared" si="15"/>
        <v>Jun</v>
      </c>
      <c r="I355" s="51">
        <f t="shared" ca="1" si="16"/>
        <v>18</v>
      </c>
      <c r="J355" s="52"/>
      <c r="K355" s="53">
        <v>71710</v>
      </c>
      <c r="L355" s="54">
        <v>5</v>
      </c>
      <c r="M355" s="59">
        <f t="shared" si="17"/>
        <v>71710</v>
      </c>
      <c r="N355" s="100"/>
      <c r="O355" s="45"/>
      <c r="P355" s="39"/>
      <c r="Q355" s="39"/>
      <c r="R355" s="39"/>
      <c r="S355" s="39"/>
      <c r="T355" s="39"/>
      <c r="U355" s="39"/>
      <c r="V355" s="39"/>
      <c r="W355" s="39"/>
      <c r="X355" s="39"/>
      <c r="Y355" s="39"/>
      <c r="Z355" s="39"/>
      <c r="AA355" s="39"/>
      <c r="AB355" s="39"/>
      <c r="AC355" s="39"/>
      <c r="AD355" s="39"/>
      <c r="AE355" s="39"/>
      <c r="AF355" s="39"/>
      <c r="AG355" s="39"/>
      <c r="AH355" s="39"/>
    </row>
    <row r="356" spans="1:34" s="84" customFormat="1" x14ac:dyDescent="0.25">
      <c r="A356" s="39" t="s">
        <v>880</v>
      </c>
      <c r="B356" s="46" t="s">
        <v>285</v>
      </c>
      <c r="C356" s="39" t="s">
        <v>856</v>
      </c>
      <c r="D356" s="102">
        <v>708082156</v>
      </c>
      <c r="E356" s="102">
        <v>9194919822</v>
      </c>
      <c r="F356" s="39" t="s">
        <v>256</v>
      </c>
      <c r="G356" s="81">
        <f>35766+(364+182)</f>
        <v>36312</v>
      </c>
      <c r="H356" s="50" t="str">
        <f t="shared" si="15"/>
        <v>Jun</v>
      </c>
      <c r="I356" s="51">
        <f t="shared" ca="1" si="16"/>
        <v>17</v>
      </c>
      <c r="J356" s="52" t="s">
        <v>257</v>
      </c>
      <c r="K356" s="53">
        <v>69200</v>
      </c>
      <c r="L356" s="54">
        <v>4</v>
      </c>
      <c r="M356" s="59">
        <f t="shared" si="17"/>
        <v>69200</v>
      </c>
      <c r="N356" s="100"/>
      <c r="O356" s="45"/>
      <c r="P356" s="39"/>
      <c r="Q356" s="39"/>
      <c r="R356" s="39"/>
      <c r="S356" s="39"/>
      <c r="T356" s="39"/>
      <c r="U356" s="39"/>
      <c r="V356" s="39"/>
      <c r="W356" s="39"/>
      <c r="X356" s="39"/>
      <c r="Y356" s="39"/>
      <c r="Z356" s="39"/>
      <c r="AA356" s="39"/>
      <c r="AB356" s="39"/>
      <c r="AC356" s="39"/>
      <c r="AD356" s="39"/>
      <c r="AE356" s="39"/>
      <c r="AF356" s="39"/>
      <c r="AG356" s="39"/>
      <c r="AH356" s="39"/>
    </row>
    <row r="357" spans="1:34" s="84" customFormat="1" x14ac:dyDescent="0.25">
      <c r="A357" s="39" t="s">
        <v>603</v>
      </c>
      <c r="B357" s="46" t="s">
        <v>285</v>
      </c>
      <c r="C357" s="39" t="s">
        <v>465</v>
      </c>
      <c r="D357" s="102">
        <v>475517002</v>
      </c>
      <c r="E357" s="102">
        <v>2523909820</v>
      </c>
      <c r="F357" s="39" t="s">
        <v>256</v>
      </c>
      <c r="G357" s="81">
        <f>35772+(364+182)</f>
        <v>36318</v>
      </c>
      <c r="H357" s="50" t="str">
        <f t="shared" si="15"/>
        <v>Jun</v>
      </c>
      <c r="I357" s="51">
        <f t="shared" ca="1" si="16"/>
        <v>17</v>
      </c>
      <c r="J357" s="52" t="s">
        <v>283</v>
      </c>
      <c r="K357" s="53">
        <v>68750</v>
      </c>
      <c r="L357" s="54">
        <v>1</v>
      </c>
      <c r="M357" s="59">
        <f t="shared" si="17"/>
        <v>68750</v>
      </c>
      <c r="N357" s="100"/>
      <c r="O357" s="45"/>
      <c r="P357" s="39"/>
      <c r="Q357" s="39"/>
      <c r="R357" s="39"/>
      <c r="S357" s="39"/>
      <c r="T357" s="39"/>
      <c r="U357" s="39"/>
      <c r="V357" s="39"/>
      <c r="W357" s="39"/>
      <c r="X357" s="39"/>
      <c r="Y357" s="39"/>
      <c r="Z357" s="39"/>
      <c r="AA357" s="39"/>
      <c r="AB357" s="39"/>
      <c r="AC357" s="39"/>
      <c r="AD357" s="39"/>
      <c r="AE357" s="39"/>
      <c r="AF357" s="39"/>
      <c r="AG357" s="39"/>
      <c r="AH357" s="39"/>
    </row>
    <row r="358" spans="1:34" s="84" customFormat="1" x14ac:dyDescent="0.25">
      <c r="A358" s="39" t="s">
        <v>712</v>
      </c>
      <c r="B358" s="46" t="s">
        <v>271</v>
      </c>
      <c r="C358" s="39" t="s">
        <v>705</v>
      </c>
      <c r="D358" s="102">
        <v>948252103</v>
      </c>
      <c r="E358" s="102">
        <v>9197430732</v>
      </c>
      <c r="F358" s="39" t="s">
        <v>252</v>
      </c>
      <c r="G358" s="81">
        <f>35783+(364+182)</f>
        <v>36329</v>
      </c>
      <c r="H358" s="50" t="str">
        <f t="shared" si="15"/>
        <v>Jun</v>
      </c>
      <c r="I358" s="51">
        <f t="shared" ca="1" si="16"/>
        <v>17</v>
      </c>
      <c r="J358" s="52"/>
      <c r="K358" s="53">
        <v>39764</v>
      </c>
      <c r="L358" s="54">
        <v>1</v>
      </c>
      <c r="M358" s="59">
        <f t="shared" si="17"/>
        <v>39764</v>
      </c>
      <c r="N358" s="100"/>
      <c r="O358" s="45"/>
      <c r="P358" s="39"/>
      <c r="Q358" s="39"/>
      <c r="R358" s="39"/>
      <c r="S358" s="39"/>
      <c r="T358" s="39"/>
      <c r="U358" s="39"/>
      <c r="V358" s="39"/>
      <c r="W358" s="39"/>
      <c r="X358" s="39"/>
      <c r="Y358" s="39"/>
      <c r="Z358" s="39"/>
      <c r="AA358" s="39"/>
      <c r="AB358" s="39"/>
      <c r="AC358" s="39"/>
      <c r="AD358" s="39"/>
      <c r="AE358" s="39"/>
      <c r="AF358" s="39"/>
      <c r="AG358" s="39"/>
      <c r="AH358" s="39"/>
    </row>
    <row r="359" spans="1:34" s="84" customFormat="1" x14ac:dyDescent="0.25">
      <c r="A359" s="39" t="s">
        <v>1010</v>
      </c>
      <c r="B359" s="46" t="s">
        <v>271</v>
      </c>
      <c r="C359" s="39" t="s">
        <v>930</v>
      </c>
      <c r="D359" s="102">
        <v>876082195</v>
      </c>
      <c r="E359" s="102">
        <v>2526049607</v>
      </c>
      <c r="F359" s="39" t="s">
        <v>256</v>
      </c>
      <c r="G359" s="81">
        <f>35784+(364+182)</f>
        <v>36330</v>
      </c>
      <c r="H359" s="50" t="str">
        <f t="shared" si="15"/>
        <v>Jun</v>
      </c>
      <c r="I359" s="51">
        <f t="shared" ca="1" si="16"/>
        <v>17</v>
      </c>
      <c r="J359" s="52" t="s">
        <v>276</v>
      </c>
      <c r="K359" s="53">
        <v>61850</v>
      </c>
      <c r="L359" s="54">
        <v>2</v>
      </c>
      <c r="M359" s="59">
        <f t="shared" si="17"/>
        <v>61850</v>
      </c>
      <c r="N359" s="100"/>
      <c r="O359" s="45"/>
      <c r="P359" s="39"/>
      <c r="Q359" s="39"/>
      <c r="R359" s="39"/>
      <c r="S359" s="39"/>
      <c r="T359" s="39"/>
      <c r="U359" s="39"/>
      <c r="V359" s="39"/>
      <c r="W359" s="39"/>
      <c r="X359" s="39"/>
      <c r="Y359" s="39"/>
      <c r="Z359" s="39"/>
      <c r="AA359" s="39"/>
      <c r="AB359" s="39"/>
      <c r="AC359" s="39"/>
      <c r="AD359" s="39"/>
      <c r="AE359" s="39"/>
      <c r="AF359" s="39"/>
      <c r="AG359" s="39"/>
      <c r="AH359" s="39"/>
    </row>
    <row r="360" spans="1:34" s="84" customFormat="1" x14ac:dyDescent="0.25">
      <c r="A360" s="39" t="s">
        <v>468</v>
      </c>
      <c r="B360" s="46" t="s">
        <v>285</v>
      </c>
      <c r="C360" s="39" t="s">
        <v>465</v>
      </c>
      <c r="D360" s="102">
        <v>319449613</v>
      </c>
      <c r="E360" s="102">
        <v>2523454032</v>
      </c>
      <c r="F360" s="39" t="s">
        <v>256</v>
      </c>
      <c r="G360" s="81">
        <f>35786+(364+182)</f>
        <v>36332</v>
      </c>
      <c r="H360" s="50" t="str">
        <f t="shared" si="15"/>
        <v>Jun</v>
      </c>
      <c r="I360" s="51">
        <f t="shared" ca="1" si="16"/>
        <v>17</v>
      </c>
      <c r="J360" s="52" t="s">
        <v>267</v>
      </c>
      <c r="K360" s="53">
        <v>37760</v>
      </c>
      <c r="L360" s="54">
        <v>2</v>
      </c>
      <c r="M360" s="59">
        <f t="shared" si="17"/>
        <v>37760</v>
      </c>
      <c r="N360" s="100"/>
      <c r="O360" s="45"/>
      <c r="P360" s="39"/>
      <c r="Q360" s="39"/>
      <c r="R360" s="39"/>
      <c r="S360" s="39"/>
      <c r="T360" s="39"/>
      <c r="U360" s="39"/>
      <c r="V360" s="39"/>
      <c r="W360" s="39"/>
      <c r="X360" s="39"/>
      <c r="Y360" s="39"/>
      <c r="Z360" s="39"/>
      <c r="AA360" s="39"/>
      <c r="AB360" s="39"/>
      <c r="AC360" s="39"/>
      <c r="AD360" s="39"/>
      <c r="AE360" s="39"/>
      <c r="AF360" s="39"/>
      <c r="AG360" s="39"/>
      <c r="AH360" s="39"/>
    </row>
    <row r="361" spans="1:34" s="84" customFormat="1" x14ac:dyDescent="0.25">
      <c r="A361" s="39" t="s">
        <v>820</v>
      </c>
      <c r="B361" s="46" t="s">
        <v>285</v>
      </c>
      <c r="C361" s="39" t="s">
        <v>767</v>
      </c>
      <c r="D361" s="102">
        <v>552528553</v>
      </c>
      <c r="E361" s="102">
        <v>9194310812</v>
      </c>
      <c r="F361" s="39" t="s">
        <v>252</v>
      </c>
      <c r="G361" s="81">
        <f>35794+(364+182)</f>
        <v>36340</v>
      </c>
      <c r="H361" s="50" t="str">
        <f t="shared" si="15"/>
        <v>Jun</v>
      </c>
      <c r="I361" s="51">
        <f t="shared" ca="1" si="16"/>
        <v>17</v>
      </c>
      <c r="J361" s="52"/>
      <c r="K361" s="53">
        <v>37016</v>
      </c>
      <c r="L361" s="54">
        <v>4</v>
      </c>
      <c r="M361" s="59">
        <f t="shared" si="17"/>
        <v>37016</v>
      </c>
      <c r="N361" s="100"/>
      <c r="O361" s="45"/>
      <c r="P361" s="39"/>
      <c r="Q361" s="39"/>
      <c r="R361" s="39"/>
      <c r="S361" s="39"/>
      <c r="T361" s="39"/>
      <c r="U361" s="39"/>
      <c r="V361" s="39"/>
      <c r="W361" s="39"/>
      <c r="X361" s="39"/>
      <c r="Y361" s="39"/>
      <c r="Z361" s="39"/>
      <c r="AA361" s="39"/>
      <c r="AB361" s="39"/>
      <c r="AC361" s="39"/>
      <c r="AD361" s="39"/>
      <c r="AE361" s="39"/>
      <c r="AF361" s="39"/>
      <c r="AG361" s="39"/>
      <c r="AH361" s="39"/>
    </row>
    <row r="362" spans="1:34" s="84" customFormat="1" x14ac:dyDescent="0.25">
      <c r="A362" s="39" t="s">
        <v>731</v>
      </c>
      <c r="B362" s="46" t="s">
        <v>285</v>
      </c>
      <c r="C362" s="39" t="s">
        <v>705</v>
      </c>
      <c r="D362" s="102">
        <v>489013842</v>
      </c>
      <c r="E362" s="102">
        <v>2521658481</v>
      </c>
      <c r="F362" s="39" t="s">
        <v>261</v>
      </c>
      <c r="G362" s="81">
        <f>36149+(364+182)</f>
        <v>36695</v>
      </c>
      <c r="H362" s="50" t="str">
        <f t="shared" si="15"/>
        <v>Jun</v>
      </c>
      <c r="I362" s="51">
        <f t="shared" ca="1" si="16"/>
        <v>16</v>
      </c>
      <c r="J362" s="52" t="s">
        <v>283</v>
      </c>
      <c r="K362" s="53">
        <v>29005</v>
      </c>
      <c r="L362" s="54">
        <v>1</v>
      </c>
      <c r="M362" s="59">
        <f t="shared" si="17"/>
        <v>29005</v>
      </c>
      <c r="N362" s="100"/>
      <c r="O362" s="45"/>
      <c r="P362" s="39"/>
      <c r="Q362" s="39"/>
      <c r="R362" s="39"/>
      <c r="S362" s="39"/>
      <c r="T362" s="39"/>
      <c r="U362" s="39"/>
      <c r="V362" s="39"/>
      <c r="W362" s="39"/>
      <c r="X362" s="39"/>
      <c r="Y362" s="39"/>
      <c r="Z362" s="39"/>
      <c r="AA362" s="39"/>
      <c r="AB362" s="39"/>
      <c r="AC362" s="39"/>
      <c r="AD362" s="39"/>
      <c r="AE362" s="39"/>
      <c r="AF362" s="39"/>
      <c r="AG362" s="39"/>
      <c r="AH362" s="39"/>
    </row>
    <row r="363" spans="1:34" s="84" customFormat="1" x14ac:dyDescent="0.25">
      <c r="A363" s="39" t="s">
        <v>535</v>
      </c>
      <c r="B363" s="46" t="s">
        <v>245</v>
      </c>
      <c r="C363" s="39" t="s">
        <v>465</v>
      </c>
      <c r="D363" s="102">
        <v>353414196</v>
      </c>
      <c r="E363" s="102">
        <v>2528159919</v>
      </c>
      <c r="F363" s="39" t="s">
        <v>256</v>
      </c>
      <c r="G363" s="81">
        <f>36152+(364+182)</f>
        <v>36698</v>
      </c>
      <c r="H363" s="50" t="str">
        <f t="shared" si="15"/>
        <v>Jun</v>
      </c>
      <c r="I363" s="51">
        <f t="shared" ca="1" si="16"/>
        <v>16</v>
      </c>
      <c r="J363" s="52" t="s">
        <v>267</v>
      </c>
      <c r="K363" s="53">
        <v>23650</v>
      </c>
      <c r="L363" s="54">
        <v>1</v>
      </c>
      <c r="M363" s="59">
        <f t="shared" si="17"/>
        <v>23650</v>
      </c>
      <c r="N363" s="100"/>
      <c r="O363" s="45"/>
      <c r="P363" s="39"/>
      <c r="Q363" s="39"/>
      <c r="R363" s="39"/>
      <c r="S363" s="39"/>
      <c r="T363" s="39"/>
      <c r="U363" s="39"/>
      <c r="V363" s="39"/>
      <c r="W363" s="39"/>
      <c r="X363" s="39"/>
      <c r="Y363" s="39"/>
      <c r="Z363" s="39"/>
      <c r="AA363" s="39"/>
      <c r="AB363" s="39"/>
      <c r="AC363" s="39"/>
      <c r="AD363" s="39"/>
      <c r="AE363" s="39"/>
      <c r="AF363" s="39"/>
      <c r="AG363" s="39"/>
      <c r="AH363" s="39"/>
    </row>
    <row r="364" spans="1:34" s="84" customFormat="1" x14ac:dyDescent="0.25">
      <c r="A364" s="39" t="s">
        <v>658</v>
      </c>
      <c r="B364" s="46" t="s">
        <v>285</v>
      </c>
      <c r="C364" s="39" t="s">
        <v>626</v>
      </c>
      <c r="D364" s="102">
        <v>157257652</v>
      </c>
      <c r="E364" s="102">
        <v>9193262077</v>
      </c>
      <c r="F364" s="39" t="s">
        <v>247</v>
      </c>
      <c r="G364" s="81">
        <f>36157+(364+182)</f>
        <v>36703</v>
      </c>
      <c r="H364" s="50" t="str">
        <f t="shared" si="15"/>
        <v>Jun</v>
      </c>
      <c r="I364" s="51">
        <f t="shared" ca="1" si="16"/>
        <v>16</v>
      </c>
      <c r="J364" s="52"/>
      <c r="K364" s="53">
        <v>50200</v>
      </c>
      <c r="L364" s="54">
        <v>4</v>
      </c>
      <c r="M364" s="59">
        <f t="shared" si="17"/>
        <v>50200</v>
      </c>
      <c r="N364" s="100"/>
      <c r="O364" s="45"/>
      <c r="P364" s="39"/>
      <c r="Q364" s="39"/>
      <c r="R364" s="39"/>
      <c r="S364" s="39"/>
      <c r="T364" s="39"/>
      <c r="U364" s="39"/>
      <c r="V364" s="39"/>
      <c r="W364" s="39"/>
      <c r="X364" s="39"/>
      <c r="Y364" s="39"/>
      <c r="Z364" s="39"/>
      <c r="AA364" s="39"/>
      <c r="AB364" s="39"/>
      <c r="AC364" s="39"/>
      <c r="AD364" s="39"/>
      <c r="AE364" s="39"/>
      <c r="AF364" s="39"/>
      <c r="AG364" s="39"/>
      <c r="AH364" s="39"/>
    </row>
    <row r="365" spans="1:34" s="84" customFormat="1" x14ac:dyDescent="0.25">
      <c r="A365" s="39" t="s">
        <v>483</v>
      </c>
      <c r="B365" s="46" t="s">
        <v>280</v>
      </c>
      <c r="C365" s="39" t="s">
        <v>465</v>
      </c>
      <c r="D365" s="102">
        <v>826450563</v>
      </c>
      <c r="E365" s="102">
        <v>9196607355</v>
      </c>
      <c r="F365" s="39" t="s">
        <v>247</v>
      </c>
      <c r="G365" s="81">
        <f>36158+(364+182)</f>
        <v>36704</v>
      </c>
      <c r="H365" s="50" t="str">
        <f t="shared" si="15"/>
        <v>Jun</v>
      </c>
      <c r="I365" s="51">
        <f t="shared" ca="1" si="16"/>
        <v>16</v>
      </c>
      <c r="J365" s="52"/>
      <c r="K365" s="53">
        <v>57760</v>
      </c>
      <c r="L365" s="54">
        <v>3</v>
      </c>
      <c r="M365" s="59">
        <f t="shared" si="17"/>
        <v>57760</v>
      </c>
      <c r="N365" s="100"/>
      <c r="O365" s="45"/>
      <c r="P365" s="39"/>
      <c r="Q365" s="39"/>
      <c r="R365" s="39"/>
      <c r="S365" s="39"/>
      <c r="T365" s="39"/>
      <c r="U365" s="39"/>
      <c r="V365" s="39"/>
      <c r="W365" s="39"/>
      <c r="X365" s="39"/>
      <c r="Y365" s="39"/>
      <c r="Z365" s="39"/>
      <c r="AA365" s="39"/>
      <c r="AB365" s="39"/>
      <c r="AC365" s="39"/>
      <c r="AD365" s="39"/>
      <c r="AE365" s="39"/>
      <c r="AF365" s="39"/>
      <c r="AG365" s="39"/>
      <c r="AH365" s="39"/>
    </row>
    <row r="366" spans="1:34" s="84" customFormat="1" x14ac:dyDescent="0.25">
      <c r="A366" s="39" t="s">
        <v>613</v>
      </c>
      <c r="B366" s="46" t="s">
        <v>285</v>
      </c>
      <c r="C366" s="39" t="s">
        <v>465</v>
      </c>
      <c r="D366" s="102">
        <v>589649495</v>
      </c>
      <c r="E366" s="102">
        <v>2524248455</v>
      </c>
      <c r="F366" s="39" t="s">
        <v>256</v>
      </c>
      <c r="G366" s="81">
        <f>36161+(364+182)</f>
        <v>36707</v>
      </c>
      <c r="H366" s="50" t="str">
        <f t="shared" si="15"/>
        <v>Jun</v>
      </c>
      <c r="I366" s="51">
        <f t="shared" ca="1" si="16"/>
        <v>16</v>
      </c>
      <c r="J366" s="52" t="s">
        <v>276</v>
      </c>
      <c r="K366" s="53">
        <v>38870</v>
      </c>
      <c r="L366" s="54">
        <v>2</v>
      </c>
      <c r="M366" s="59">
        <f t="shared" si="17"/>
        <v>38870</v>
      </c>
      <c r="N366" s="100"/>
      <c r="O366" s="45"/>
      <c r="P366" s="39"/>
      <c r="Q366" s="39"/>
      <c r="R366" s="39"/>
      <c r="S366" s="39"/>
      <c r="T366" s="39"/>
      <c r="U366" s="39"/>
      <c r="V366" s="39"/>
      <c r="W366" s="39"/>
      <c r="X366" s="39"/>
      <c r="Y366" s="39"/>
      <c r="Z366" s="39"/>
      <c r="AA366" s="39"/>
      <c r="AB366" s="39"/>
      <c r="AC366" s="39"/>
      <c r="AD366" s="39"/>
      <c r="AE366" s="39"/>
      <c r="AF366" s="39"/>
      <c r="AG366" s="39"/>
      <c r="AH366" s="39"/>
    </row>
    <row r="367" spans="1:34" s="84" customFormat="1" x14ac:dyDescent="0.25">
      <c r="A367" s="39" t="s">
        <v>460</v>
      </c>
      <c r="B367" s="46" t="s">
        <v>280</v>
      </c>
      <c r="C367" s="39" t="s">
        <v>456</v>
      </c>
      <c r="D367" s="102">
        <v>477110649</v>
      </c>
      <c r="E367" s="102">
        <v>9191351512</v>
      </c>
      <c r="F367" s="39" t="s">
        <v>256</v>
      </c>
      <c r="G367" s="81">
        <f>36497+(364+182)</f>
        <v>37043</v>
      </c>
      <c r="H367" s="50" t="str">
        <f t="shared" si="15"/>
        <v>Jun</v>
      </c>
      <c r="I367" s="51">
        <f t="shared" ca="1" si="16"/>
        <v>15</v>
      </c>
      <c r="J367" s="52" t="s">
        <v>262</v>
      </c>
      <c r="K367" s="53">
        <v>45150</v>
      </c>
      <c r="L367" s="54">
        <v>1</v>
      </c>
      <c r="M367" s="59">
        <f t="shared" si="17"/>
        <v>45150</v>
      </c>
      <c r="N367" s="100"/>
      <c r="O367" s="45"/>
      <c r="P367" s="39"/>
      <c r="Q367" s="39"/>
      <c r="R367" s="39"/>
      <c r="S367" s="39"/>
      <c r="T367" s="39"/>
      <c r="U367" s="39"/>
      <c r="V367" s="39"/>
      <c r="W367" s="39"/>
      <c r="X367" s="39"/>
      <c r="Y367" s="39"/>
      <c r="Z367" s="39"/>
      <c r="AA367" s="39"/>
      <c r="AB367" s="39"/>
      <c r="AC367" s="39"/>
      <c r="AD367" s="39"/>
      <c r="AE367" s="39"/>
      <c r="AF367" s="39"/>
      <c r="AG367" s="39"/>
      <c r="AH367" s="39"/>
    </row>
    <row r="368" spans="1:34" s="84" customFormat="1" x14ac:dyDescent="0.25">
      <c r="A368" s="39" t="s">
        <v>972</v>
      </c>
      <c r="B368" s="46" t="s">
        <v>266</v>
      </c>
      <c r="C368" s="39" t="s">
        <v>930</v>
      </c>
      <c r="D368" s="102">
        <v>592709648</v>
      </c>
      <c r="E368" s="102">
        <v>9191797370</v>
      </c>
      <c r="F368" s="39" t="s">
        <v>247</v>
      </c>
      <c r="G368" s="81">
        <f>36519+(364+182)</f>
        <v>37065</v>
      </c>
      <c r="H368" s="50" t="str">
        <f t="shared" si="15"/>
        <v>Jun</v>
      </c>
      <c r="I368" s="51">
        <f t="shared" ca="1" si="16"/>
        <v>15</v>
      </c>
      <c r="J368" s="52"/>
      <c r="K368" s="53">
        <v>77136</v>
      </c>
      <c r="L368" s="54">
        <v>5</v>
      </c>
      <c r="M368" s="59">
        <f t="shared" si="17"/>
        <v>77136</v>
      </c>
      <c r="N368" s="100"/>
      <c r="O368" s="45"/>
      <c r="P368" s="39"/>
      <c r="Q368" s="39"/>
      <c r="R368" s="39"/>
      <c r="S368" s="39"/>
      <c r="T368" s="39"/>
      <c r="U368" s="39"/>
      <c r="V368" s="39"/>
      <c r="W368" s="39"/>
      <c r="X368" s="39"/>
      <c r="Y368" s="39"/>
      <c r="Z368" s="39"/>
      <c r="AA368" s="39"/>
      <c r="AB368" s="39"/>
      <c r="AC368" s="39"/>
      <c r="AD368" s="39"/>
      <c r="AE368" s="39"/>
      <c r="AF368" s="39"/>
      <c r="AG368" s="39"/>
      <c r="AH368" s="39"/>
    </row>
    <row r="369" spans="1:34" s="84" customFormat="1" x14ac:dyDescent="0.25">
      <c r="A369" s="39" t="s">
        <v>470</v>
      </c>
      <c r="B369" s="46" t="s">
        <v>285</v>
      </c>
      <c r="C369" s="39" t="s">
        <v>465</v>
      </c>
      <c r="D369" s="102">
        <v>894030119</v>
      </c>
      <c r="E369" s="102">
        <v>2528652588</v>
      </c>
      <c r="F369" s="39" t="s">
        <v>256</v>
      </c>
      <c r="G369" s="81">
        <f>36522+(364+182)</f>
        <v>37068</v>
      </c>
      <c r="H369" s="50" t="str">
        <f t="shared" si="15"/>
        <v>Jun</v>
      </c>
      <c r="I369" s="51">
        <f t="shared" ca="1" si="16"/>
        <v>15</v>
      </c>
      <c r="J369" s="52" t="s">
        <v>262</v>
      </c>
      <c r="K369" s="53">
        <v>66010</v>
      </c>
      <c r="L369" s="54">
        <v>5</v>
      </c>
      <c r="M369" s="59">
        <f t="shared" si="17"/>
        <v>66010</v>
      </c>
      <c r="N369" s="100"/>
      <c r="O369" s="45"/>
      <c r="P369" s="39"/>
      <c r="Q369" s="39"/>
      <c r="R369" s="39"/>
      <c r="S369" s="39"/>
      <c r="T369" s="39"/>
      <c r="U369" s="39"/>
      <c r="V369" s="39"/>
      <c r="W369" s="39"/>
      <c r="X369" s="39"/>
      <c r="Y369" s="39"/>
      <c r="Z369" s="39"/>
      <c r="AA369" s="39"/>
      <c r="AB369" s="39"/>
      <c r="AC369" s="39"/>
      <c r="AD369" s="39"/>
      <c r="AE369" s="39"/>
      <c r="AF369" s="39"/>
      <c r="AG369" s="39"/>
      <c r="AH369" s="39"/>
    </row>
    <row r="370" spans="1:34" x14ac:dyDescent="0.25">
      <c r="A370" s="39" t="s">
        <v>541</v>
      </c>
      <c r="B370" s="46" t="s">
        <v>271</v>
      </c>
      <c r="C370" s="39" t="s">
        <v>465</v>
      </c>
      <c r="D370" s="102">
        <v>512405919</v>
      </c>
      <c r="E370" s="102">
        <v>9195858234</v>
      </c>
      <c r="F370" s="39" t="s">
        <v>256</v>
      </c>
      <c r="G370" s="81">
        <f>36890+(364+182)</f>
        <v>37436</v>
      </c>
      <c r="H370" s="50" t="str">
        <f t="shared" si="15"/>
        <v>Jun</v>
      </c>
      <c r="I370" s="51">
        <f t="shared" ca="1" si="16"/>
        <v>14</v>
      </c>
      <c r="J370" s="52" t="s">
        <v>267</v>
      </c>
      <c r="K370" s="53">
        <v>64130</v>
      </c>
      <c r="L370" s="54">
        <v>1</v>
      </c>
      <c r="M370" s="59">
        <f t="shared" si="17"/>
        <v>64130</v>
      </c>
    </row>
    <row r="371" spans="1:34" x14ac:dyDescent="0.25">
      <c r="A371" s="39" t="s">
        <v>914</v>
      </c>
      <c r="B371" s="46" t="s">
        <v>245</v>
      </c>
      <c r="C371" s="39" t="s">
        <v>856</v>
      </c>
      <c r="D371" s="102">
        <v>357568979</v>
      </c>
      <c r="E371" s="102">
        <v>2524316324</v>
      </c>
      <c r="F371" s="39" t="s">
        <v>261</v>
      </c>
      <c r="G371" s="81">
        <f>37229+(364+182)</f>
        <v>37775</v>
      </c>
      <c r="H371" s="50" t="str">
        <f t="shared" si="15"/>
        <v>Jun</v>
      </c>
      <c r="I371" s="51">
        <f t="shared" ca="1" si="16"/>
        <v>13</v>
      </c>
      <c r="J371" s="52" t="s">
        <v>262</v>
      </c>
      <c r="K371" s="53">
        <v>28525</v>
      </c>
      <c r="L371" s="54">
        <v>4</v>
      </c>
      <c r="M371" s="59">
        <f t="shared" si="17"/>
        <v>28525</v>
      </c>
    </row>
    <row r="372" spans="1:34" x14ac:dyDescent="0.25">
      <c r="A372" s="39" t="s">
        <v>288</v>
      </c>
      <c r="B372" s="46" t="s">
        <v>271</v>
      </c>
      <c r="C372" s="39" t="s">
        <v>272</v>
      </c>
      <c r="D372" s="102">
        <v>781913936</v>
      </c>
      <c r="E372" s="102">
        <v>9197889149</v>
      </c>
      <c r="F372" s="39" t="s">
        <v>261</v>
      </c>
      <c r="G372" s="81">
        <f>37236+(364+182)</f>
        <v>37782</v>
      </c>
      <c r="H372" s="50" t="str">
        <f t="shared" si="15"/>
        <v>Jun</v>
      </c>
      <c r="I372" s="51">
        <f t="shared" ca="1" si="16"/>
        <v>13</v>
      </c>
      <c r="J372" s="52" t="s">
        <v>276</v>
      </c>
      <c r="K372" s="53">
        <v>17735</v>
      </c>
      <c r="L372" s="54">
        <v>3</v>
      </c>
      <c r="M372" s="59">
        <f t="shared" si="17"/>
        <v>17735</v>
      </c>
    </row>
    <row r="373" spans="1:34" x14ac:dyDescent="0.25">
      <c r="A373" s="39" t="s">
        <v>331</v>
      </c>
      <c r="B373" s="46" t="s">
        <v>285</v>
      </c>
      <c r="C373" s="39" t="s">
        <v>312</v>
      </c>
      <c r="D373" s="102">
        <v>252276921</v>
      </c>
      <c r="E373" s="102">
        <v>2525777345</v>
      </c>
      <c r="F373" s="39" t="s">
        <v>256</v>
      </c>
      <c r="G373" s="81">
        <f>37239+(364+182)</f>
        <v>37785</v>
      </c>
      <c r="H373" s="50" t="str">
        <f t="shared" si="15"/>
        <v>Jun</v>
      </c>
      <c r="I373" s="51">
        <f t="shared" ca="1" si="16"/>
        <v>13</v>
      </c>
      <c r="J373" s="52" t="s">
        <v>283</v>
      </c>
      <c r="K373" s="53">
        <v>87280</v>
      </c>
      <c r="L373" s="54">
        <v>4</v>
      </c>
      <c r="M373" s="59">
        <f t="shared" si="17"/>
        <v>87280</v>
      </c>
    </row>
    <row r="374" spans="1:34" x14ac:dyDescent="0.25">
      <c r="A374" s="39" t="s">
        <v>906</v>
      </c>
      <c r="B374" s="46" t="s">
        <v>280</v>
      </c>
      <c r="C374" s="39" t="s">
        <v>856</v>
      </c>
      <c r="D374" s="102">
        <v>531654742</v>
      </c>
      <c r="E374" s="102">
        <v>9195770085</v>
      </c>
      <c r="F374" s="39" t="s">
        <v>256</v>
      </c>
      <c r="G374" s="81">
        <f>37247+(364+182)</f>
        <v>37793</v>
      </c>
      <c r="H374" s="50" t="str">
        <f t="shared" si="15"/>
        <v>Jun</v>
      </c>
      <c r="I374" s="51">
        <f t="shared" ca="1" si="16"/>
        <v>13</v>
      </c>
      <c r="J374" s="52" t="s">
        <v>257</v>
      </c>
      <c r="K374" s="53">
        <v>29210</v>
      </c>
      <c r="L374" s="54">
        <v>5</v>
      </c>
      <c r="M374" s="59">
        <f t="shared" si="17"/>
        <v>29210</v>
      </c>
    </row>
    <row r="375" spans="1:34" x14ac:dyDescent="0.25">
      <c r="A375" s="45" t="s">
        <v>277</v>
      </c>
      <c r="B375" s="46" t="s">
        <v>271</v>
      </c>
      <c r="C375" s="45" t="s">
        <v>272</v>
      </c>
      <c r="D375" s="106">
        <v>638271383</v>
      </c>
      <c r="E375" s="106">
        <v>2521641031</v>
      </c>
      <c r="F375" s="45" t="s">
        <v>256</v>
      </c>
      <c r="G375" s="105">
        <f>37596+(364+182)</f>
        <v>38142</v>
      </c>
      <c r="H375" s="50" t="str">
        <f t="shared" si="15"/>
        <v>Jun</v>
      </c>
      <c r="I375" s="51">
        <f t="shared" ca="1" si="16"/>
        <v>12</v>
      </c>
      <c r="J375" s="52" t="s">
        <v>257</v>
      </c>
      <c r="K375" s="53">
        <v>49350</v>
      </c>
      <c r="L375" s="54">
        <v>4</v>
      </c>
      <c r="M375" s="59">
        <f t="shared" si="17"/>
        <v>49350</v>
      </c>
      <c r="O375" s="104"/>
    </row>
    <row r="376" spans="1:34" x14ac:dyDescent="0.25">
      <c r="A376" s="39" t="s">
        <v>738</v>
      </c>
      <c r="B376" s="46" t="s">
        <v>285</v>
      </c>
      <c r="C376" s="39" t="s">
        <v>705</v>
      </c>
      <c r="D376" s="102">
        <v>842774592</v>
      </c>
      <c r="E376" s="102">
        <v>2527345539</v>
      </c>
      <c r="F376" s="39" t="s">
        <v>252</v>
      </c>
      <c r="G376" s="81">
        <f>37598+(364+182)</f>
        <v>38144</v>
      </c>
      <c r="H376" s="50" t="str">
        <f t="shared" si="15"/>
        <v>Jun</v>
      </c>
      <c r="I376" s="51">
        <f t="shared" ca="1" si="16"/>
        <v>12</v>
      </c>
      <c r="J376" s="52"/>
      <c r="K376" s="53">
        <v>33512</v>
      </c>
      <c r="L376" s="54">
        <v>4</v>
      </c>
      <c r="M376" s="59">
        <f t="shared" si="17"/>
        <v>33512</v>
      </c>
    </row>
    <row r="377" spans="1:34" x14ac:dyDescent="0.25">
      <c r="A377" s="39" t="s">
        <v>607</v>
      </c>
      <c r="B377" s="46" t="s">
        <v>245</v>
      </c>
      <c r="C377" s="39" t="s">
        <v>465</v>
      </c>
      <c r="D377" s="102">
        <v>684054281</v>
      </c>
      <c r="E377" s="102">
        <v>2522888726</v>
      </c>
      <c r="F377" s="39" t="s">
        <v>256</v>
      </c>
      <c r="G377" s="81">
        <f>37600+(364+182)</f>
        <v>38146</v>
      </c>
      <c r="H377" s="50" t="str">
        <f t="shared" si="15"/>
        <v>Jun</v>
      </c>
      <c r="I377" s="51">
        <f t="shared" ca="1" si="16"/>
        <v>12</v>
      </c>
      <c r="J377" s="52" t="s">
        <v>257</v>
      </c>
      <c r="K377" s="53">
        <v>47340</v>
      </c>
      <c r="L377" s="54">
        <v>2</v>
      </c>
      <c r="M377" s="59">
        <f t="shared" si="17"/>
        <v>47340</v>
      </c>
    </row>
    <row r="378" spans="1:34" x14ac:dyDescent="0.25">
      <c r="A378" s="39" t="s">
        <v>591</v>
      </c>
      <c r="B378" s="46" t="s">
        <v>285</v>
      </c>
      <c r="C378" s="39" t="s">
        <v>465</v>
      </c>
      <c r="D378" s="102">
        <v>412611335</v>
      </c>
      <c r="E378" s="102">
        <v>2525998691</v>
      </c>
      <c r="F378" s="39" t="s">
        <v>247</v>
      </c>
      <c r="G378" s="81">
        <f>37961+(364+182)</f>
        <v>38507</v>
      </c>
      <c r="H378" s="50" t="str">
        <f t="shared" si="15"/>
        <v>Jun</v>
      </c>
      <c r="I378" s="51">
        <f t="shared" ca="1" si="16"/>
        <v>11</v>
      </c>
      <c r="J378" s="52"/>
      <c r="K378" s="53">
        <v>40940</v>
      </c>
      <c r="L378" s="54">
        <v>2</v>
      </c>
      <c r="M378" s="59">
        <f t="shared" si="17"/>
        <v>40940</v>
      </c>
    </row>
    <row r="379" spans="1:34" x14ac:dyDescent="0.25">
      <c r="A379" s="39" t="s">
        <v>412</v>
      </c>
      <c r="B379" s="46" t="s">
        <v>285</v>
      </c>
      <c r="C379" s="39" t="s">
        <v>411</v>
      </c>
      <c r="D379" s="102">
        <v>699053064</v>
      </c>
      <c r="E379" s="102">
        <v>9191299076</v>
      </c>
      <c r="F379" s="39" t="s">
        <v>247</v>
      </c>
      <c r="G379" s="81">
        <f>37981+(364+182)</f>
        <v>38527</v>
      </c>
      <c r="H379" s="50" t="str">
        <f t="shared" si="15"/>
        <v>Jun</v>
      </c>
      <c r="I379" s="51">
        <f t="shared" ca="1" si="16"/>
        <v>11</v>
      </c>
      <c r="J379" s="52"/>
      <c r="K379" s="53">
        <v>60060</v>
      </c>
      <c r="L379" s="54">
        <v>2</v>
      </c>
      <c r="M379" s="59">
        <f t="shared" si="17"/>
        <v>60060</v>
      </c>
    </row>
    <row r="380" spans="1:34" x14ac:dyDescent="0.25">
      <c r="A380" s="39" t="s">
        <v>532</v>
      </c>
      <c r="B380" s="46" t="s">
        <v>280</v>
      </c>
      <c r="C380" s="39" t="s">
        <v>465</v>
      </c>
      <c r="D380" s="102">
        <v>725737456</v>
      </c>
      <c r="E380" s="102">
        <v>9191847141</v>
      </c>
      <c r="F380" s="39" t="s">
        <v>247</v>
      </c>
      <c r="G380" s="81">
        <f>38328+(364+182)</f>
        <v>38874</v>
      </c>
      <c r="H380" s="50" t="str">
        <f t="shared" si="15"/>
        <v>Jun</v>
      </c>
      <c r="I380" s="51">
        <f t="shared" ca="1" si="16"/>
        <v>10</v>
      </c>
      <c r="J380" s="52"/>
      <c r="K380" s="53">
        <v>59330</v>
      </c>
      <c r="L380" s="54">
        <v>4</v>
      </c>
      <c r="M380" s="59">
        <f t="shared" si="17"/>
        <v>59330</v>
      </c>
    </row>
    <row r="381" spans="1:34" x14ac:dyDescent="0.25">
      <c r="A381" s="39" t="s">
        <v>951</v>
      </c>
      <c r="B381" s="46" t="s">
        <v>245</v>
      </c>
      <c r="C381" s="39" t="s">
        <v>930</v>
      </c>
      <c r="D381" s="102">
        <v>210491464</v>
      </c>
      <c r="E381" s="102">
        <v>9198405552</v>
      </c>
      <c r="F381" s="39" t="s">
        <v>256</v>
      </c>
      <c r="G381" s="81">
        <f>39056+(364+182)</f>
        <v>39602</v>
      </c>
      <c r="H381" s="50" t="str">
        <f t="shared" si="15"/>
        <v>Jun</v>
      </c>
      <c r="I381" s="51">
        <f t="shared" ca="1" si="16"/>
        <v>8</v>
      </c>
      <c r="J381" s="52" t="s">
        <v>257</v>
      </c>
      <c r="K381" s="53">
        <v>79380</v>
      </c>
      <c r="L381" s="54">
        <v>5</v>
      </c>
      <c r="M381" s="59">
        <f t="shared" si="17"/>
        <v>79380</v>
      </c>
    </row>
    <row r="382" spans="1:34" x14ac:dyDescent="0.25">
      <c r="A382" s="39" t="s">
        <v>576</v>
      </c>
      <c r="B382" s="46" t="s">
        <v>280</v>
      </c>
      <c r="C382" s="39" t="s">
        <v>465</v>
      </c>
      <c r="D382" s="102">
        <v>180095803</v>
      </c>
      <c r="E382" s="102">
        <v>2526503334</v>
      </c>
      <c r="F382" s="39" t="s">
        <v>256</v>
      </c>
      <c r="G382" s="81">
        <f>39426+(364+182)</f>
        <v>39972</v>
      </c>
      <c r="H382" s="50" t="str">
        <f t="shared" si="15"/>
        <v>Jun</v>
      </c>
      <c r="I382" s="51">
        <f t="shared" ca="1" si="16"/>
        <v>7</v>
      </c>
      <c r="J382" s="52" t="s">
        <v>257</v>
      </c>
      <c r="K382" s="53">
        <v>78170</v>
      </c>
      <c r="L382" s="54">
        <v>5</v>
      </c>
      <c r="M382" s="59">
        <f t="shared" si="17"/>
        <v>78170</v>
      </c>
    </row>
    <row r="383" spans="1:34" x14ac:dyDescent="0.25">
      <c r="A383" s="39" t="s">
        <v>688</v>
      </c>
      <c r="B383" s="46" t="s">
        <v>251</v>
      </c>
      <c r="C383" s="39" t="s">
        <v>678</v>
      </c>
      <c r="D383" s="102">
        <v>755945415</v>
      </c>
      <c r="E383" s="102">
        <v>2524373324</v>
      </c>
      <c r="F383" s="39" t="s">
        <v>247</v>
      </c>
      <c r="G383" s="81">
        <f>39787+(364+182)</f>
        <v>40333</v>
      </c>
      <c r="H383" s="50" t="str">
        <f t="shared" si="15"/>
        <v>Jun</v>
      </c>
      <c r="I383" s="51">
        <f t="shared" ca="1" si="16"/>
        <v>6</v>
      </c>
      <c r="J383" s="52"/>
      <c r="K383" s="53">
        <v>74020</v>
      </c>
      <c r="L383" s="54">
        <v>2</v>
      </c>
      <c r="M383" s="59">
        <f t="shared" si="17"/>
        <v>74020</v>
      </c>
    </row>
    <row r="384" spans="1:34" x14ac:dyDescent="0.25">
      <c r="A384" s="39" t="s">
        <v>941</v>
      </c>
      <c r="B384" s="46" t="s">
        <v>266</v>
      </c>
      <c r="C384" s="39" t="s">
        <v>930</v>
      </c>
      <c r="D384" s="102">
        <v>147683641</v>
      </c>
      <c r="E384" s="102">
        <v>9191657646</v>
      </c>
      <c r="F384" s="39" t="s">
        <v>247</v>
      </c>
      <c r="G384" s="109">
        <f>39788+(364+182)</f>
        <v>40334</v>
      </c>
      <c r="H384" s="50" t="str">
        <f t="shared" si="15"/>
        <v>Jun</v>
      </c>
      <c r="I384" s="51">
        <f t="shared" ca="1" si="16"/>
        <v>6</v>
      </c>
      <c r="J384" s="52"/>
      <c r="K384" s="53">
        <v>47280</v>
      </c>
      <c r="L384" s="54">
        <v>1</v>
      </c>
      <c r="M384" s="59">
        <f t="shared" si="17"/>
        <v>47280</v>
      </c>
    </row>
    <row r="385" spans="1:17" x14ac:dyDescent="0.25">
      <c r="A385" s="39" t="s">
        <v>891</v>
      </c>
      <c r="B385" s="46" t="s">
        <v>271</v>
      </c>
      <c r="C385" s="39" t="s">
        <v>856</v>
      </c>
      <c r="D385" s="102">
        <v>750581894</v>
      </c>
      <c r="E385" s="102">
        <v>2528433766</v>
      </c>
      <c r="F385" s="39" t="s">
        <v>247</v>
      </c>
      <c r="G385" s="81">
        <f>39804+(364+182)</f>
        <v>40350</v>
      </c>
      <c r="H385" s="50" t="str">
        <f t="shared" si="15"/>
        <v>Jun</v>
      </c>
      <c r="I385" s="51">
        <f t="shared" ca="1" si="16"/>
        <v>6</v>
      </c>
      <c r="J385" s="52"/>
      <c r="K385" s="53">
        <v>21580</v>
      </c>
      <c r="L385" s="54">
        <v>3</v>
      </c>
      <c r="M385" s="59">
        <f t="shared" si="17"/>
        <v>21580</v>
      </c>
    </row>
    <row r="386" spans="1:17" x14ac:dyDescent="0.25">
      <c r="A386" s="39" t="s">
        <v>636</v>
      </c>
      <c r="B386" s="46" t="s">
        <v>271</v>
      </c>
      <c r="C386" s="39" t="s">
        <v>626</v>
      </c>
      <c r="D386" s="102">
        <v>247406371</v>
      </c>
      <c r="E386" s="102">
        <v>9195299873</v>
      </c>
      <c r="F386" s="39" t="s">
        <v>261</v>
      </c>
      <c r="G386" s="81">
        <f>39805+(364+182)</f>
        <v>40351</v>
      </c>
      <c r="H386" s="50" t="str">
        <f t="shared" si="15"/>
        <v>Jun</v>
      </c>
      <c r="I386" s="51">
        <f t="shared" ca="1" si="16"/>
        <v>6</v>
      </c>
      <c r="J386" s="52" t="s">
        <v>283</v>
      </c>
      <c r="K386" s="53">
        <v>20040</v>
      </c>
      <c r="L386" s="54">
        <v>3</v>
      </c>
      <c r="M386" s="59">
        <f t="shared" si="17"/>
        <v>20040</v>
      </c>
    </row>
    <row r="387" spans="1:17" x14ac:dyDescent="0.25">
      <c r="A387" s="39" t="s">
        <v>1029</v>
      </c>
      <c r="B387" s="46" t="s">
        <v>271</v>
      </c>
      <c r="C387" s="39" t="s">
        <v>1025</v>
      </c>
      <c r="D387" s="102">
        <v>106099892</v>
      </c>
      <c r="E387" s="102">
        <v>9194436681</v>
      </c>
      <c r="F387" s="39" t="s">
        <v>247</v>
      </c>
      <c r="G387" s="81">
        <f>40173+(364+182)</f>
        <v>40719</v>
      </c>
      <c r="H387" s="50" t="str">
        <f t="shared" ref="H387:H450" si="18">CHOOSE(MONTH(G387),"Jan","Feb","Mar","Apr","May","Jun","Jul","Aug","Sep","Oct","Nov","Dec")</f>
        <v>Jun</v>
      </c>
      <c r="I387" s="51">
        <f t="shared" ref="I387:I450" ca="1" si="19">DATEDIF(G387,TODAY(),"Y")</f>
        <v>5</v>
      </c>
      <c r="J387" s="52"/>
      <c r="K387" s="53">
        <v>66132</v>
      </c>
      <c r="L387" s="54">
        <v>4</v>
      </c>
      <c r="M387" s="59">
        <f t="shared" ref="M387:M450" si="20">ROUND(K387*P385+K387,0)</f>
        <v>66132</v>
      </c>
    </row>
    <row r="388" spans="1:17" x14ac:dyDescent="0.25">
      <c r="A388" s="39" t="s">
        <v>388</v>
      </c>
      <c r="B388" s="46" t="s">
        <v>285</v>
      </c>
      <c r="C388" s="39" t="s">
        <v>381</v>
      </c>
      <c r="D388" s="102">
        <v>405297884</v>
      </c>
      <c r="E388" s="102">
        <v>2524747044</v>
      </c>
      <c r="F388" s="39" t="s">
        <v>256</v>
      </c>
      <c r="G388" s="81">
        <f>32525+(364+182)</f>
        <v>33071</v>
      </c>
      <c r="H388" s="50" t="str">
        <f t="shared" si="18"/>
        <v>Jul</v>
      </c>
      <c r="I388" s="51">
        <f t="shared" ca="1" si="19"/>
        <v>26</v>
      </c>
      <c r="J388" s="52" t="s">
        <v>283</v>
      </c>
      <c r="K388" s="53">
        <v>69060</v>
      </c>
      <c r="L388" s="54">
        <v>1</v>
      </c>
      <c r="M388" s="59">
        <f t="shared" si="20"/>
        <v>69060</v>
      </c>
    </row>
    <row r="389" spans="1:17" x14ac:dyDescent="0.25">
      <c r="A389" s="39" t="s">
        <v>439</v>
      </c>
      <c r="B389" s="46" t="s">
        <v>280</v>
      </c>
      <c r="C389" s="39" t="s">
        <v>417</v>
      </c>
      <c r="D389" s="102">
        <v>171868795</v>
      </c>
      <c r="E389" s="102">
        <v>9194323329</v>
      </c>
      <c r="F389" s="39" t="s">
        <v>256</v>
      </c>
      <c r="G389" s="81">
        <f>32533+(364+182)</f>
        <v>33079</v>
      </c>
      <c r="H389" s="50" t="str">
        <f t="shared" si="18"/>
        <v>Jul</v>
      </c>
      <c r="I389" s="51">
        <f t="shared" ca="1" si="19"/>
        <v>26</v>
      </c>
      <c r="J389" s="52" t="s">
        <v>276</v>
      </c>
      <c r="K389" s="53">
        <v>32360</v>
      </c>
      <c r="L389" s="54">
        <v>4</v>
      </c>
      <c r="M389" s="59">
        <f t="shared" si="20"/>
        <v>32360</v>
      </c>
    </row>
    <row r="390" spans="1:17" x14ac:dyDescent="0.25">
      <c r="A390" s="39" t="s">
        <v>896</v>
      </c>
      <c r="B390" s="46" t="s">
        <v>271</v>
      </c>
      <c r="C390" s="39" t="s">
        <v>856</v>
      </c>
      <c r="D390" s="102">
        <v>304024314</v>
      </c>
      <c r="E390" s="102">
        <v>9192244880</v>
      </c>
      <c r="F390" s="39" t="s">
        <v>247</v>
      </c>
      <c r="G390" s="81">
        <f>32875+(364+182)</f>
        <v>33421</v>
      </c>
      <c r="H390" s="50" t="str">
        <f t="shared" si="18"/>
        <v>Jul</v>
      </c>
      <c r="I390" s="51">
        <f t="shared" ca="1" si="19"/>
        <v>25</v>
      </c>
      <c r="J390" s="52"/>
      <c r="K390" s="53">
        <v>46650</v>
      </c>
      <c r="L390" s="54">
        <v>2</v>
      </c>
      <c r="M390" s="59">
        <f t="shared" si="20"/>
        <v>46650</v>
      </c>
    </row>
    <row r="391" spans="1:17" x14ac:dyDescent="0.25">
      <c r="A391" s="39" t="s">
        <v>431</v>
      </c>
      <c r="B391" s="46" t="s">
        <v>285</v>
      </c>
      <c r="C391" s="39" t="s">
        <v>417</v>
      </c>
      <c r="D391" s="102">
        <v>927043360</v>
      </c>
      <c r="E391" s="102">
        <v>2526053287</v>
      </c>
      <c r="F391" s="39" t="s">
        <v>247</v>
      </c>
      <c r="G391" s="81">
        <f>32878+(364+182)</f>
        <v>33424</v>
      </c>
      <c r="H391" s="50" t="str">
        <f t="shared" si="18"/>
        <v>Jul</v>
      </c>
      <c r="I391" s="51">
        <f t="shared" ca="1" si="19"/>
        <v>25</v>
      </c>
      <c r="J391" s="52"/>
      <c r="K391" s="53">
        <v>22320</v>
      </c>
      <c r="L391" s="54">
        <v>2</v>
      </c>
      <c r="M391" s="59">
        <f t="shared" si="20"/>
        <v>22320</v>
      </c>
    </row>
    <row r="392" spans="1:17" x14ac:dyDescent="0.25">
      <c r="A392" s="39" t="s">
        <v>752</v>
      </c>
      <c r="B392" s="46" t="s">
        <v>271</v>
      </c>
      <c r="C392" s="39" t="s">
        <v>750</v>
      </c>
      <c r="D392" s="102">
        <v>763518183</v>
      </c>
      <c r="E392" s="102">
        <v>2522581491</v>
      </c>
      <c r="F392" s="39" t="s">
        <v>256</v>
      </c>
      <c r="G392" s="81">
        <f>32894+(364+182)</f>
        <v>33440</v>
      </c>
      <c r="H392" s="50" t="str">
        <f t="shared" si="18"/>
        <v>Jul</v>
      </c>
      <c r="I392" s="51">
        <f t="shared" ca="1" si="19"/>
        <v>25</v>
      </c>
      <c r="J392" s="52" t="s">
        <v>257</v>
      </c>
      <c r="K392" s="53">
        <v>69400</v>
      </c>
      <c r="L392" s="54">
        <v>5</v>
      </c>
      <c r="M392" s="59">
        <f t="shared" si="20"/>
        <v>69400</v>
      </c>
    </row>
    <row r="393" spans="1:17" x14ac:dyDescent="0.25">
      <c r="A393" s="39" t="s">
        <v>405</v>
      </c>
      <c r="B393" s="46" t="s">
        <v>245</v>
      </c>
      <c r="C393" s="39" t="s">
        <v>391</v>
      </c>
      <c r="D393" s="102">
        <v>719937584</v>
      </c>
      <c r="E393" s="102">
        <v>9191653055</v>
      </c>
      <c r="F393" s="39" t="s">
        <v>256</v>
      </c>
      <c r="G393" s="81">
        <f>32901+(364+182)</f>
        <v>33447</v>
      </c>
      <c r="H393" s="50" t="str">
        <f t="shared" si="18"/>
        <v>Jul</v>
      </c>
      <c r="I393" s="51">
        <f t="shared" ca="1" si="19"/>
        <v>25</v>
      </c>
      <c r="J393" s="52" t="s">
        <v>283</v>
      </c>
      <c r="K393" s="53">
        <v>37620</v>
      </c>
      <c r="L393" s="54">
        <v>5</v>
      </c>
      <c r="M393" s="59">
        <f t="shared" si="20"/>
        <v>37620</v>
      </c>
      <c r="N393" s="107"/>
      <c r="O393" s="101"/>
    </row>
    <row r="394" spans="1:17" x14ac:dyDescent="0.25">
      <c r="A394" s="39" t="s">
        <v>330</v>
      </c>
      <c r="B394" s="46" t="s">
        <v>245</v>
      </c>
      <c r="C394" s="39" t="s">
        <v>312</v>
      </c>
      <c r="D394" s="102">
        <v>721173550</v>
      </c>
      <c r="E394" s="102">
        <v>2528356334</v>
      </c>
      <c r="F394" s="39" t="s">
        <v>256</v>
      </c>
      <c r="G394" s="81">
        <f>33240+(364+182)</f>
        <v>33786</v>
      </c>
      <c r="H394" s="50" t="str">
        <f t="shared" si="18"/>
        <v>Jul</v>
      </c>
      <c r="I394" s="51">
        <f t="shared" ca="1" si="19"/>
        <v>24</v>
      </c>
      <c r="J394" s="52" t="s">
        <v>257</v>
      </c>
      <c r="K394" s="53">
        <v>71150</v>
      </c>
      <c r="L394" s="54">
        <v>2</v>
      </c>
      <c r="M394" s="59">
        <f t="shared" si="20"/>
        <v>71150</v>
      </c>
      <c r="P394" s="75"/>
      <c r="Q394" s="75"/>
    </row>
    <row r="395" spans="1:17" x14ac:dyDescent="0.25">
      <c r="A395" s="39" t="s">
        <v>936</v>
      </c>
      <c r="B395" s="46" t="s">
        <v>245</v>
      </c>
      <c r="C395" s="39" t="s">
        <v>930</v>
      </c>
      <c r="D395" s="102">
        <v>741258203</v>
      </c>
      <c r="E395" s="102">
        <v>9195157707</v>
      </c>
      <c r="F395" s="39" t="s">
        <v>247</v>
      </c>
      <c r="G395" s="81">
        <f>33243+(364+182)</f>
        <v>33789</v>
      </c>
      <c r="H395" s="50" t="str">
        <f t="shared" si="18"/>
        <v>Jul</v>
      </c>
      <c r="I395" s="51">
        <f t="shared" ca="1" si="19"/>
        <v>24</v>
      </c>
      <c r="J395" s="52"/>
      <c r="K395" s="53">
        <v>59128</v>
      </c>
      <c r="L395" s="54">
        <v>4</v>
      </c>
      <c r="M395" s="59">
        <f t="shared" si="20"/>
        <v>59128</v>
      </c>
    </row>
    <row r="396" spans="1:17" x14ac:dyDescent="0.25">
      <c r="A396" s="39" t="s">
        <v>947</v>
      </c>
      <c r="B396" s="46" t="s">
        <v>271</v>
      </c>
      <c r="C396" s="39" t="s">
        <v>930</v>
      </c>
      <c r="D396" s="102">
        <v>693214759</v>
      </c>
      <c r="E396" s="102">
        <v>9192683895</v>
      </c>
      <c r="F396" s="39" t="s">
        <v>256</v>
      </c>
      <c r="G396" s="81">
        <f>33260+(364+182)</f>
        <v>33806</v>
      </c>
      <c r="H396" s="50" t="str">
        <f t="shared" si="18"/>
        <v>Jul</v>
      </c>
      <c r="I396" s="51">
        <f t="shared" ca="1" si="19"/>
        <v>24</v>
      </c>
      <c r="J396" s="52" t="s">
        <v>262</v>
      </c>
      <c r="K396" s="53">
        <v>62780</v>
      </c>
      <c r="L396" s="54">
        <v>3</v>
      </c>
      <c r="M396" s="59">
        <f t="shared" si="20"/>
        <v>62780</v>
      </c>
    </row>
    <row r="397" spans="1:17" x14ac:dyDescent="0.25">
      <c r="A397" s="39" t="s">
        <v>746</v>
      </c>
      <c r="B397" s="46" t="s">
        <v>285</v>
      </c>
      <c r="C397" s="39" t="s">
        <v>705</v>
      </c>
      <c r="D397" s="102">
        <v>210173249</v>
      </c>
      <c r="E397" s="102">
        <v>2525780571</v>
      </c>
      <c r="F397" s="39" t="s">
        <v>247</v>
      </c>
      <c r="G397" s="81">
        <f>33265+(364+182)</f>
        <v>33811</v>
      </c>
      <c r="H397" s="50" t="str">
        <f t="shared" si="18"/>
        <v>Jul</v>
      </c>
      <c r="I397" s="51">
        <f t="shared" ca="1" si="19"/>
        <v>24</v>
      </c>
      <c r="J397" s="52"/>
      <c r="K397" s="53">
        <v>32650</v>
      </c>
      <c r="L397" s="54">
        <v>1</v>
      </c>
      <c r="M397" s="59">
        <f t="shared" si="20"/>
        <v>32650</v>
      </c>
    </row>
    <row r="398" spans="1:17" x14ac:dyDescent="0.25">
      <c r="A398" s="39" t="s">
        <v>524</v>
      </c>
      <c r="B398" s="46" t="s">
        <v>271</v>
      </c>
      <c r="C398" s="39" t="s">
        <v>465</v>
      </c>
      <c r="D398" s="102">
        <v>380653169</v>
      </c>
      <c r="E398" s="102">
        <v>9194743535</v>
      </c>
      <c r="F398" s="39" t="s">
        <v>256</v>
      </c>
      <c r="G398" s="81">
        <f>33605+(364+182)</f>
        <v>34151</v>
      </c>
      <c r="H398" s="50" t="str">
        <f t="shared" si="18"/>
        <v>Jul</v>
      </c>
      <c r="I398" s="51">
        <f t="shared" ca="1" si="19"/>
        <v>23</v>
      </c>
      <c r="J398" s="52" t="s">
        <v>283</v>
      </c>
      <c r="K398" s="53">
        <v>81980</v>
      </c>
      <c r="L398" s="54">
        <v>2</v>
      </c>
      <c r="M398" s="59">
        <f t="shared" si="20"/>
        <v>81980</v>
      </c>
    </row>
    <row r="399" spans="1:17" x14ac:dyDescent="0.25">
      <c r="A399" s="39" t="s">
        <v>969</v>
      </c>
      <c r="B399" s="46" t="s">
        <v>271</v>
      </c>
      <c r="C399" s="39" t="s">
        <v>930</v>
      </c>
      <c r="D399" s="102">
        <v>418701946</v>
      </c>
      <c r="E399" s="102">
        <v>2524141191</v>
      </c>
      <c r="F399" s="39" t="s">
        <v>261</v>
      </c>
      <c r="G399" s="81">
        <f>33608+(364+182)</f>
        <v>34154</v>
      </c>
      <c r="H399" s="50" t="str">
        <f t="shared" si="18"/>
        <v>Jul</v>
      </c>
      <c r="I399" s="51">
        <f t="shared" ca="1" si="19"/>
        <v>23</v>
      </c>
      <c r="J399" s="52" t="s">
        <v>257</v>
      </c>
      <c r="K399" s="53">
        <v>49545</v>
      </c>
      <c r="L399" s="54">
        <v>2</v>
      </c>
      <c r="M399" s="59">
        <f t="shared" si="20"/>
        <v>49545</v>
      </c>
    </row>
    <row r="400" spans="1:17" x14ac:dyDescent="0.25">
      <c r="A400" s="39" t="s">
        <v>935</v>
      </c>
      <c r="B400" s="46" t="s">
        <v>280</v>
      </c>
      <c r="C400" s="39" t="s">
        <v>930</v>
      </c>
      <c r="D400" s="102">
        <v>426812736</v>
      </c>
      <c r="E400" s="102">
        <v>9198399625</v>
      </c>
      <c r="F400" s="39" t="s">
        <v>247</v>
      </c>
      <c r="G400" s="81">
        <f>33613+(364+182)</f>
        <v>34159</v>
      </c>
      <c r="H400" s="50" t="str">
        <f t="shared" si="18"/>
        <v>Jul</v>
      </c>
      <c r="I400" s="51">
        <f t="shared" ca="1" si="19"/>
        <v>23</v>
      </c>
      <c r="J400" s="52"/>
      <c r="K400" s="53">
        <v>35240</v>
      </c>
      <c r="L400" s="54">
        <v>3</v>
      </c>
      <c r="M400" s="59">
        <f t="shared" si="20"/>
        <v>35240</v>
      </c>
      <c r="P400" s="75"/>
      <c r="Q400" s="75"/>
    </row>
    <row r="401" spans="1:14" x14ac:dyDescent="0.25">
      <c r="A401" s="39" t="s">
        <v>875</v>
      </c>
      <c r="B401" s="46" t="s">
        <v>285</v>
      </c>
      <c r="C401" s="39" t="s">
        <v>856</v>
      </c>
      <c r="D401" s="102">
        <v>100703382</v>
      </c>
      <c r="E401" s="102">
        <v>9195157047</v>
      </c>
      <c r="F401" s="39" t="s">
        <v>256</v>
      </c>
      <c r="G401" s="81">
        <f>33614+(364+182)</f>
        <v>34160</v>
      </c>
      <c r="H401" s="50" t="str">
        <f t="shared" si="18"/>
        <v>Jul</v>
      </c>
      <c r="I401" s="51">
        <f t="shared" ca="1" si="19"/>
        <v>23</v>
      </c>
      <c r="J401" s="52" t="s">
        <v>257</v>
      </c>
      <c r="K401" s="53">
        <v>54200</v>
      </c>
      <c r="L401" s="54">
        <v>4</v>
      </c>
      <c r="M401" s="59">
        <f t="shared" si="20"/>
        <v>54200</v>
      </c>
    </row>
    <row r="402" spans="1:14" x14ac:dyDescent="0.25">
      <c r="A402" s="39" t="s">
        <v>444</v>
      </c>
      <c r="B402" s="46" t="s">
        <v>245</v>
      </c>
      <c r="C402" s="39" t="s">
        <v>417</v>
      </c>
      <c r="D402" s="102">
        <v>932787692</v>
      </c>
      <c r="E402" s="102">
        <v>2522612740</v>
      </c>
      <c r="F402" s="39" t="s">
        <v>247</v>
      </c>
      <c r="G402" s="81">
        <f>33615+(364+182)</f>
        <v>34161</v>
      </c>
      <c r="H402" s="50" t="str">
        <f t="shared" si="18"/>
        <v>Jul</v>
      </c>
      <c r="I402" s="51">
        <f t="shared" ca="1" si="19"/>
        <v>23</v>
      </c>
      <c r="J402" s="52"/>
      <c r="K402" s="53">
        <v>64090</v>
      </c>
      <c r="L402" s="54">
        <v>2</v>
      </c>
      <c r="M402" s="59">
        <f t="shared" si="20"/>
        <v>64090</v>
      </c>
    </row>
    <row r="403" spans="1:14" x14ac:dyDescent="0.25">
      <c r="A403" s="39" t="s">
        <v>560</v>
      </c>
      <c r="B403" s="46" t="s">
        <v>245</v>
      </c>
      <c r="C403" s="39" t="s">
        <v>465</v>
      </c>
      <c r="D403" s="102">
        <v>427260216</v>
      </c>
      <c r="E403" s="102">
        <v>9198999194</v>
      </c>
      <c r="F403" s="39" t="s">
        <v>261</v>
      </c>
      <c r="G403" s="81">
        <f>33617+(364+182)</f>
        <v>34163</v>
      </c>
      <c r="H403" s="50" t="str">
        <f t="shared" si="18"/>
        <v>Jul</v>
      </c>
      <c r="I403" s="51">
        <f t="shared" ca="1" si="19"/>
        <v>23</v>
      </c>
      <c r="J403" s="52" t="s">
        <v>262</v>
      </c>
      <c r="K403" s="53">
        <v>18895</v>
      </c>
      <c r="L403" s="54">
        <v>4</v>
      </c>
      <c r="M403" s="59">
        <f t="shared" si="20"/>
        <v>18895</v>
      </c>
    </row>
    <row r="404" spans="1:14" x14ac:dyDescent="0.25">
      <c r="A404" s="39" t="s">
        <v>551</v>
      </c>
      <c r="B404" s="46" t="s">
        <v>280</v>
      </c>
      <c r="C404" s="39" t="s">
        <v>465</v>
      </c>
      <c r="D404" s="102">
        <v>366740174</v>
      </c>
      <c r="E404" s="102">
        <v>2521549933</v>
      </c>
      <c r="F404" s="39" t="s">
        <v>252</v>
      </c>
      <c r="G404" s="81">
        <f>33619+(364+182)</f>
        <v>34165</v>
      </c>
      <c r="H404" s="50" t="str">
        <f t="shared" si="18"/>
        <v>Jul</v>
      </c>
      <c r="I404" s="51">
        <f t="shared" ca="1" si="19"/>
        <v>23</v>
      </c>
      <c r="J404" s="52"/>
      <c r="K404" s="53">
        <v>30416</v>
      </c>
      <c r="L404" s="54">
        <v>1</v>
      </c>
      <c r="M404" s="59">
        <f t="shared" si="20"/>
        <v>30416</v>
      </c>
    </row>
    <row r="405" spans="1:14" x14ac:dyDescent="0.25">
      <c r="A405" s="39" t="s">
        <v>355</v>
      </c>
      <c r="B405" s="46" t="s">
        <v>271</v>
      </c>
      <c r="C405" s="39" t="s">
        <v>312</v>
      </c>
      <c r="D405" s="102">
        <v>148899089</v>
      </c>
      <c r="E405" s="102">
        <v>2524734960</v>
      </c>
      <c r="F405" s="39" t="s">
        <v>261</v>
      </c>
      <c r="G405" s="81">
        <f>33620+(364+182)</f>
        <v>34166</v>
      </c>
      <c r="H405" s="50" t="str">
        <f t="shared" si="18"/>
        <v>Jul</v>
      </c>
      <c r="I405" s="51">
        <f t="shared" ca="1" si="19"/>
        <v>23</v>
      </c>
      <c r="J405" s="52" t="s">
        <v>257</v>
      </c>
      <c r="K405" s="53">
        <v>26890</v>
      </c>
      <c r="L405" s="54">
        <v>3</v>
      </c>
      <c r="M405" s="59">
        <f t="shared" si="20"/>
        <v>26890</v>
      </c>
    </row>
    <row r="406" spans="1:14" x14ac:dyDescent="0.25">
      <c r="A406" s="39" t="s">
        <v>819</v>
      </c>
      <c r="B406" s="46" t="s">
        <v>271</v>
      </c>
      <c r="C406" s="39" t="s">
        <v>767</v>
      </c>
      <c r="D406" s="102">
        <v>317193890</v>
      </c>
      <c r="E406" s="102">
        <v>9192350434</v>
      </c>
      <c r="F406" s="39" t="s">
        <v>256</v>
      </c>
      <c r="G406" s="81">
        <f>33623+(364+182)</f>
        <v>34169</v>
      </c>
      <c r="H406" s="50" t="str">
        <f t="shared" si="18"/>
        <v>Jul</v>
      </c>
      <c r="I406" s="51">
        <f t="shared" ca="1" si="19"/>
        <v>23</v>
      </c>
      <c r="J406" s="52" t="s">
        <v>267</v>
      </c>
      <c r="K406" s="53">
        <v>69420</v>
      </c>
      <c r="L406" s="54">
        <v>2</v>
      </c>
      <c r="M406" s="59">
        <f t="shared" si="20"/>
        <v>69420</v>
      </c>
    </row>
    <row r="407" spans="1:14" x14ac:dyDescent="0.25">
      <c r="A407" s="39" t="s">
        <v>666</v>
      </c>
      <c r="B407" s="46" t="s">
        <v>285</v>
      </c>
      <c r="C407" s="39" t="s">
        <v>626</v>
      </c>
      <c r="D407" s="102">
        <v>422957475</v>
      </c>
      <c r="E407" s="102">
        <v>2524273090</v>
      </c>
      <c r="F407" s="39" t="s">
        <v>256</v>
      </c>
      <c r="G407" s="81">
        <f>33631+(364+182)</f>
        <v>34177</v>
      </c>
      <c r="H407" s="50" t="str">
        <f t="shared" si="18"/>
        <v>Jul</v>
      </c>
      <c r="I407" s="51">
        <f t="shared" ca="1" si="19"/>
        <v>23</v>
      </c>
      <c r="J407" s="52" t="s">
        <v>283</v>
      </c>
      <c r="K407" s="53">
        <v>65250</v>
      </c>
      <c r="L407" s="54">
        <v>2</v>
      </c>
      <c r="M407" s="59">
        <f t="shared" si="20"/>
        <v>65250</v>
      </c>
    </row>
    <row r="408" spans="1:14" x14ac:dyDescent="0.25">
      <c r="A408" s="39" t="s">
        <v>867</v>
      </c>
      <c r="B408" s="46" t="s">
        <v>271</v>
      </c>
      <c r="C408" s="39" t="s">
        <v>856</v>
      </c>
      <c r="D408" s="102">
        <v>705186668</v>
      </c>
      <c r="E408" s="102">
        <v>9193922813</v>
      </c>
      <c r="F408" s="39" t="s">
        <v>252</v>
      </c>
      <c r="G408" s="81">
        <f>33634+(364+182)</f>
        <v>34180</v>
      </c>
      <c r="H408" s="50" t="str">
        <f t="shared" si="18"/>
        <v>Jul</v>
      </c>
      <c r="I408" s="51">
        <f t="shared" ca="1" si="19"/>
        <v>23</v>
      </c>
      <c r="J408" s="52"/>
      <c r="K408" s="53">
        <v>26484</v>
      </c>
      <c r="L408" s="54">
        <v>5</v>
      </c>
      <c r="M408" s="59">
        <f t="shared" si="20"/>
        <v>26484</v>
      </c>
    </row>
    <row r="409" spans="1:14" x14ac:dyDescent="0.25">
      <c r="A409" s="39" t="s">
        <v>1030</v>
      </c>
      <c r="B409" s="46" t="s">
        <v>285</v>
      </c>
      <c r="C409" s="39" t="s">
        <v>1031</v>
      </c>
      <c r="D409" s="102">
        <v>978092408</v>
      </c>
      <c r="E409" s="102">
        <v>9191888279</v>
      </c>
      <c r="F409" s="39" t="s">
        <v>247</v>
      </c>
      <c r="G409" s="81">
        <f>33979+(364+182)</f>
        <v>34525</v>
      </c>
      <c r="H409" s="50" t="str">
        <f t="shared" si="18"/>
        <v>Jul</v>
      </c>
      <c r="I409" s="51">
        <f t="shared" ca="1" si="19"/>
        <v>22</v>
      </c>
      <c r="J409" s="52"/>
      <c r="K409" s="53">
        <v>64720</v>
      </c>
      <c r="L409" s="54">
        <v>5</v>
      </c>
      <c r="M409" s="59">
        <f t="shared" si="20"/>
        <v>64720</v>
      </c>
    </row>
    <row r="410" spans="1:14" x14ac:dyDescent="0.25">
      <c r="A410" s="39" t="s">
        <v>938</v>
      </c>
      <c r="B410" s="46" t="s">
        <v>285</v>
      </c>
      <c r="C410" s="39" t="s">
        <v>930</v>
      </c>
      <c r="D410" s="102">
        <v>324069262</v>
      </c>
      <c r="E410" s="102">
        <v>2525459665</v>
      </c>
      <c r="F410" s="39" t="s">
        <v>247</v>
      </c>
      <c r="G410" s="81">
        <f>33988+(364+182)</f>
        <v>34534</v>
      </c>
      <c r="H410" s="50" t="str">
        <f t="shared" si="18"/>
        <v>Jul</v>
      </c>
      <c r="I410" s="51">
        <f t="shared" ca="1" si="19"/>
        <v>22</v>
      </c>
      <c r="J410" s="52"/>
      <c r="K410" s="53">
        <v>45105</v>
      </c>
      <c r="L410" s="54">
        <v>1</v>
      </c>
      <c r="M410" s="59">
        <f t="shared" si="20"/>
        <v>45105</v>
      </c>
    </row>
    <row r="411" spans="1:14" x14ac:dyDescent="0.25">
      <c r="A411" s="39" t="s">
        <v>469</v>
      </c>
      <c r="B411" s="46" t="s">
        <v>245</v>
      </c>
      <c r="C411" s="39" t="s">
        <v>465</v>
      </c>
      <c r="D411" s="102">
        <v>865073824</v>
      </c>
      <c r="E411" s="102">
        <v>2524785979</v>
      </c>
      <c r="F411" s="39" t="s">
        <v>256</v>
      </c>
      <c r="G411" s="81">
        <f>33995+(364+182)</f>
        <v>34541</v>
      </c>
      <c r="H411" s="50" t="str">
        <f t="shared" si="18"/>
        <v>Jul</v>
      </c>
      <c r="I411" s="51">
        <f t="shared" ca="1" si="19"/>
        <v>22</v>
      </c>
      <c r="J411" s="52" t="s">
        <v>276</v>
      </c>
      <c r="K411" s="53">
        <v>34480</v>
      </c>
      <c r="L411" s="54">
        <v>3</v>
      </c>
      <c r="M411" s="59">
        <f t="shared" si="20"/>
        <v>34480</v>
      </c>
    </row>
    <row r="412" spans="1:14" x14ac:dyDescent="0.25">
      <c r="A412" s="39" t="s">
        <v>604</v>
      </c>
      <c r="B412" s="46" t="s">
        <v>285</v>
      </c>
      <c r="C412" s="39" t="s">
        <v>465</v>
      </c>
      <c r="D412" s="102">
        <v>682500261</v>
      </c>
      <c r="E412" s="102">
        <v>9191163627</v>
      </c>
      <c r="F412" s="39" t="s">
        <v>256</v>
      </c>
      <c r="G412" s="81">
        <f>34335+(364+182)</f>
        <v>34881</v>
      </c>
      <c r="H412" s="50" t="str">
        <f t="shared" si="18"/>
        <v>Jul</v>
      </c>
      <c r="I412" s="51">
        <f t="shared" ca="1" si="19"/>
        <v>21</v>
      </c>
      <c r="J412" s="52" t="s">
        <v>262</v>
      </c>
      <c r="K412" s="53">
        <v>63070</v>
      </c>
      <c r="L412" s="54">
        <v>1</v>
      </c>
      <c r="M412" s="59">
        <f t="shared" si="20"/>
        <v>63070</v>
      </c>
      <c r="N412" s="107"/>
    </row>
    <row r="413" spans="1:14" x14ac:dyDescent="0.25">
      <c r="A413" s="39" t="s">
        <v>730</v>
      </c>
      <c r="B413" s="46" t="s">
        <v>271</v>
      </c>
      <c r="C413" s="39" t="s">
        <v>705</v>
      </c>
      <c r="D413" s="102">
        <v>931977751</v>
      </c>
      <c r="E413" s="102">
        <v>9194471952</v>
      </c>
      <c r="F413" s="39" t="s">
        <v>256</v>
      </c>
      <c r="G413" s="81">
        <f>34355+(364+182)</f>
        <v>34901</v>
      </c>
      <c r="H413" s="50" t="str">
        <f t="shared" si="18"/>
        <v>Jul</v>
      </c>
      <c r="I413" s="51">
        <f t="shared" ca="1" si="19"/>
        <v>21</v>
      </c>
      <c r="J413" s="52" t="s">
        <v>257</v>
      </c>
      <c r="K413" s="53">
        <v>25830</v>
      </c>
      <c r="L413" s="54">
        <v>5</v>
      </c>
      <c r="M413" s="59">
        <f t="shared" si="20"/>
        <v>25830</v>
      </c>
    </row>
    <row r="414" spans="1:14" x14ac:dyDescent="0.25">
      <c r="A414" s="39" t="s">
        <v>937</v>
      </c>
      <c r="B414" s="46" t="s">
        <v>285</v>
      </c>
      <c r="C414" s="39" t="s">
        <v>930</v>
      </c>
      <c r="D414" s="102">
        <v>101829876</v>
      </c>
      <c r="E414" s="102">
        <v>2522552565</v>
      </c>
      <c r="F414" s="39" t="s">
        <v>252</v>
      </c>
      <c r="G414" s="81">
        <f>34701+(364+182)</f>
        <v>35247</v>
      </c>
      <c r="H414" s="50" t="str">
        <f t="shared" si="18"/>
        <v>Jul</v>
      </c>
      <c r="I414" s="51">
        <f t="shared" ca="1" si="19"/>
        <v>20</v>
      </c>
      <c r="J414" s="52"/>
      <c r="K414" s="53">
        <v>33752</v>
      </c>
      <c r="L414" s="54">
        <v>3</v>
      </c>
      <c r="M414" s="59">
        <f t="shared" si="20"/>
        <v>33752</v>
      </c>
    </row>
    <row r="415" spans="1:14" x14ac:dyDescent="0.25">
      <c r="A415" s="39" t="s">
        <v>425</v>
      </c>
      <c r="B415" s="46" t="s">
        <v>285</v>
      </c>
      <c r="C415" s="39" t="s">
        <v>417</v>
      </c>
      <c r="D415" s="102">
        <v>110184347</v>
      </c>
      <c r="E415" s="102">
        <v>2526166452</v>
      </c>
      <c r="F415" s="39" t="s">
        <v>256</v>
      </c>
      <c r="G415" s="81">
        <f>34707+(364+182)</f>
        <v>35253</v>
      </c>
      <c r="H415" s="50" t="str">
        <f t="shared" si="18"/>
        <v>Jul</v>
      </c>
      <c r="I415" s="51">
        <f t="shared" ca="1" si="19"/>
        <v>20</v>
      </c>
      <c r="J415" s="52" t="s">
        <v>257</v>
      </c>
      <c r="K415" s="53">
        <v>63780</v>
      </c>
      <c r="L415" s="54">
        <v>5</v>
      </c>
      <c r="M415" s="59">
        <f t="shared" si="20"/>
        <v>63780</v>
      </c>
    </row>
    <row r="416" spans="1:14" x14ac:dyDescent="0.25">
      <c r="A416" s="39" t="s">
        <v>646</v>
      </c>
      <c r="B416" s="46" t="s">
        <v>245</v>
      </c>
      <c r="C416" s="39" t="s">
        <v>626</v>
      </c>
      <c r="D416" s="102">
        <v>343897392</v>
      </c>
      <c r="E416" s="102">
        <v>2526674988</v>
      </c>
      <c r="F416" s="39" t="s">
        <v>256</v>
      </c>
      <c r="G416" s="81">
        <f>34708+(364+182)</f>
        <v>35254</v>
      </c>
      <c r="H416" s="50" t="str">
        <f t="shared" si="18"/>
        <v>Jul</v>
      </c>
      <c r="I416" s="51">
        <f t="shared" ca="1" si="19"/>
        <v>20</v>
      </c>
      <c r="J416" s="52" t="s">
        <v>257</v>
      </c>
      <c r="K416" s="53">
        <v>48800</v>
      </c>
      <c r="L416" s="54">
        <v>4</v>
      </c>
      <c r="M416" s="59">
        <f t="shared" si="20"/>
        <v>48800</v>
      </c>
    </row>
    <row r="417" spans="1:34" x14ac:dyDescent="0.25">
      <c r="A417" s="39" t="s">
        <v>360</v>
      </c>
      <c r="B417" s="46" t="s">
        <v>285</v>
      </c>
      <c r="C417" s="39" t="s">
        <v>312</v>
      </c>
      <c r="D417" s="102">
        <v>427811310</v>
      </c>
      <c r="E417" s="102">
        <v>9191362796</v>
      </c>
      <c r="F417" s="39" t="s">
        <v>247</v>
      </c>
      <c r="G417" s="81">
        <f>34709+(364+182)</f>
        <v>35255</v>
      </c>
      <c r="H417" s="50" t="str">
        <f t="shared" si="18"/>
        <v>Jul</v>
      </c>
      <c r="I417" s="51">
        <f t="shared" ca="1" si="19"/>
        <v>20</v>
      </c>
      <c r="J417" s="52"/>
      <c r="K417" s="53">
        <v>89310</v>
      </c>
      <c r="L417" s="54">
        <v>5</v>
      </c>
      <c r="M417" s="59">
        <f t="shared" si="20"/>
        <v>89310</v>
      </c>
    </row>
    <row r="418" spans="1:34" s="84" customFormat="1" x14ac:dyDescent="0.25">
      <c r="A418" s="39" t="s">
        <v>964</v>
      </c>
      <c r="B418" s="46" t="s">
        <v>285</v>
      </c>
      <c r="C418" s="39" t="s">
        <v>930</v>
      </c>
      <c r="D418" s="102">
        <v>627494412</v>
      </c>
      <c r="E418" s="102">
        <v>2528249735</v>
      </c>
      <c r="F418" s="39" t="s">
        <v>256</v>
      </c>
      <c r="G418" s="81">
        <f>34730+(364+182)</f>
        <v>35276</v>
      </c>
      <c r="H418" s="50" t="str">
        <f t="shared" si="18"/>
        <v>Jul</v>
      </c>
      <c r="I418" s="51">
        <f t="shared" ca="1" si="19"/>
        <v>20</v>
      </c>
      <c r="J418" s="52" t="s">
        <v>257</v>
      </c>
      <c r="K418" s="53">
        <v>58370</v>
      </c>
      <c r="L418" s="54">
        <v>5</v>
      </c>
      <c r="M418" s="59">
        <f t="shared" si="20"/>
        <v>58370</v>
      </c>
      <c r="N418" s="100"/>
      <c r="O418" s="45"/>
      <c r="P418" s="39"/>
      <c r="Q418" s="39"/>
      <c r="R418" s="39"/>
      <c r="S418" s="39"/>
      <c r="T418" s="39"/>
      <c r="U418" s="39"/>
      <c r="V418" s="39"/>
      <c r="W418" s="39"/>
      <c r="X418" s="39"/>
      <c r="Y418" s="39"/>
      <c r="Z418" s="39"/>
      <c r="AA418" s="39"/>
      <c r="AB418" s="39"/>
      <c r="AC418" s="39"/>
      <c r="AD418" s="39"/>
      <c r="AE418" s="39"/>
      <c r="AF418" s="39"/>
      <c r="AG418" s="39"/>
      <c r="AH418" s="39"/>
    </row>
    <row r="419" spans="1:34" s="84" customFormat="1" x14ac:dyDescent="0.25">
      <c r="A419" s="39" t="s">
        <v>805</v>
      </c>
      <c r="B419" s="46" t="s">
        <v>285</v>
      </c>
      <c r="C419" s="39" t="s">
        <v>767</v>
      </c>
      <c r="D419" s="102">
        <v>394876677</v>
      </c>
      <c r="E419" s="102">
        <v>2522551469</v>
      </c>
      <c r="F419" s="39" t="s">
        <v>256</v>
      </c>
      <c r="G419" s="81">
        <f>35070+(364+182)</f>
        <v>35616</v>
      </c>
      <c r="H419" s="50" t="str">
        <f t="shared" si="18"/>
        <v>Jul</v>
      </c>
      <c r="I419" s="51">
        <f t="shared" ca="1" si="19"/>
        <v>19</v>
      </c>
      <c r="J419" s="52" t="s">
        <v>283</v>
      </c>
      <c r="K419" s="53">
        <v>34060</v>
      </c>
      <c r="L419" s="54">
        <v>2</v>
      </c>
      <c r="M419" s="59">
        <f t="shared" si="20"/>
        <v>34060</v>
      </c>
      <c r="N419" s="100"/>
      <c r="O419" s="45"/>
      <c r="P419" s="39"/>
      <c r="Q419" s="39"/>
      <c r="R419" s="39"/>
      <c r="S419" s="39"/>
      <c r="T419" s="39"/>
      <c r="U419" s="39"/>
      <c r="V419" s="39"/>
      <c r="W419" s="39"/>
      <c r="X419" s="39"/>
      <c r="Y419" s="39"/>
      <c r="Z419" s="39"/>
      <c r="AA419" s="39"/>
      <c r="AB419" s="39"/>
      <c r="AC419" s="39"/>
      <c r="AD419" s="39"/>
      <c r="AE419" s="39"/>
      <c r="AF419" s="39"/>
      <c r="AG419" s="39"/>
      <c r="AH419" s="39"/>
    </row>
    <row r="420" spans="1:34" s="84" customFormat="1" x14ac:dyDescent="0.25">
      <c r="A420" s="39" t="s">
        <v>1018</v>
      </c>
      <c r="B420" s="46" t="s">
        <v>285</v>
      </c>
      <c r="C420" s="39" t="s">
        <v>930</v>
      </c>
      <c r="D420" s="102">
        <v>296641985</v>
      </c>
      <c r="E420" s="102">
        <v>2528217409</v>
      </c>
      <c r="F420" s="39" t="s">
        <v>256</v>
      </c>
      <c r="G420" s="81">
        <f>35081+(364+182)</f>
        <v>35627</v>
      </c>
      <c r="H420" s="50" t="str">
        <f t="shared" si="18"/>
        <v>Jul</v>
      </c>
      <c r="I420" s="51">
        <f t="shared" ca="1" si="19"/>
        <v>19</v>
      </c>
      <c r="J420" s="52" t="s">
        <v>283</v>
      </c>
      <c r="K420" s="53">
        <v>41380</v>
      </c>
      <c r="L420" s="54">
        <v>2</v>
      </c>
      <c r="M420" s="59">
        <f t="shared" si="20"/>
        <v>41380</v>
      </c>
      <c r="N420" s="100"/>
      <c r="O420" s="45"/>
      <c r="P420" s="39"/>
      <c r="Q420" s="39"/>
      <c r="R420" s="39"/>
      <c r="S420" s="39"/>
      <c r="T420" s="39"/>
      <c r="U420" s="39"/>
      <c r="V420" s="39"/>
      <c r="W420" s="39"/>
      <c r="X420" s="39"/>
      <c r="Y420" s="39"/>
      <c r="Z420" s="39"/>
      <c r="AA420" s="39"/>
      <c r="AB420" s="39"/>
      <c r="AC420" s="39"/>
      <c r="AD420" s="39"/>
      <c r="AE420" s="39"/>
      <c r="AF420" s="39"/>
      <c r="AG420" s="39"/>
      <c r="AH420" s="39"/>
    </row>
    <row r="421" spans="1:34" s="84" customFormat="1" x14ac:dyDescent="0.25">
      <c r="A421" s="39" t="s">
        <v>466</v>
      </c>
      <c r="B421" s="46" t="s">
        <v>285</v>
      </c>
      <c r="C421" s="39" t="s">
        <v>465</v>
      </c>
      <c r="D421" s="102">
        <v>722630791</v>
      </c>
      <c r="E421" s="102">
        <v>2522263363</v>
      </c>
      <c r="F421" s="39" t="s">
        <v>252</v>
      </c>
      <c r="G421" s="81">
        <f>35436+(364+182)</f>
        <v>35982</v>
      </c>
      <c r="H421" s="50" t="str">
        <f t="shared" si="18"/>
        <v>Jul</v>
      </c>
      <c r="I421" s="51">
        <f t="shared" ca="1" si="19"/>
        <v>18</v>
      </c>
      <c r="J421" s="52"/>
      <c r="K421" s="53">
        <v>8904</v>
      </c>
      <c r="L421" s="54">
        <v>3</v>
      </c>
      <c r="M421" s="59">
        <f t="shared" si="20"/>
        <v>8904</v>
      </c>
      <c r="N421" s="100"/>
      <c r="O421" s="45"/>
      <c r="P421" s="39"/>
      <c r="Q421" s="39"/>
      <c r="R421" s="39"/>
      <c r="S421" s="39"/>
      <c r="T421" s="39"/>
      <c r="U421" s="39"/>
      <c r="V421" s="39"/>
      <c r="W421" s="39"/>
      <c r="X421" s="39"/>
      <c r="Y421" s="39"/>
      <c r="Z421" s="39"/>
      <c r="AA421" s="39"/>
      <c r="AB421" s="39"/>
      <c r="AC421" s="39"/>
      <c r="AD421" s="39"/>
      <c r="AE421" s="39"/>
      <c r="AF421" s="39"/>
      <c r="AG421" s="39"/>
      <c r="AH421" s="39"/>
    </row>
    <row r="422" spans="1:34" s="84" customFormat="1" x14ac:dyDescent="0.25">
      <c r="A422" s="39" t="s">
        <v>446</v>
      </c>
      <c r="B422" s="46" t="s">
        <v>251</v>
      </c>
      <c r="C422" s="39" t="s">
        <v>417</v>
      </c>
      <c r="D422" s="102">
        <v>105708355</v>
      </c>
      <c r="E422" s="102">
        <v>2524697218</v>
      </c>
      <c r="F422" s="39" t="s">
        <v>256</v>
      </c>
      <c r="G422" s="81">
        <f>35443+(364+182)</f>
        <v>35989</v>
      </c>
      <c r="H422" s="50" t="str">
        <f t="shared" si="18"/>
        <v>Jul</v>
      </c>
      <c r="I422" s="51">
        <f t="shared" ca="1" si="19"/>
        <v>18</v>
      </c>
      <c r="J422" s="52" t="s">
        <v>262</v>
      </c>
      <c r="K422" s="53">
        <v>71010</v>
      </c>
      <c r="L422" s="54">
        <v>5</v>
      </c>
      <c r="M422" s="59">
        <f t="shared" si="20"/>
        <v>71010</v>
      </c>
      <c r="N422" s="100"/>
      <c r="O422" s="45"/>
      <c r="P422" s="39"/>
      <c r="Q422" s="39"/>
      <c r="R422" s="39"/>
      <c r="S422" s="39"/>
      <c r="T422" s="39"/>
      <c r="U422" s="39"/>
      <c r="V422" s="39"/>
      <c r="W422" s="39"/>
      <c r="X422" s="39"/>
      <c r="Y422" s="39"/>
      <c r="Z422" s="39"/>
      <c r="AA422" s="39"/>
      <c r="AB422" s="39"/>
      <c r="AC422" s="39"/>
      <c r="AD422" s="39"/>
      <c r="AE422" s="39"/>
      <c r="AF422" s="39"/>
      <c r="AG422" s="39"/>
      <c r="AH422" s="39"/>
    </row>
    <row r="423" spans="1:34" s="84" customFormat="1" x14ac:dyDescent="0.25">
      <c r="A423" s="39" t="s">
        <v>828</v>
      </c>
      <c r="B423" s="46" t="s">
        <v>271</v>
      </c>
      <c r="C423" s="39" t="s">
        <v>767</v>
      </c>
      <c r="D423" s="102">
        <v>379340654</v>
      </c>
      <c r="E423" s="102">
        <v>9198642893</v>
      </c>
      <c r="F423" s="39" t="s">
        <v>256</v>
      </c>
      <c r="G423" s="81">
        <f>35444+(364+182)</f>
        <v>35990</v>
      </c>
      <c r="H423" s="50" t="str">
        <f t="shared" si="18"/>
        <v>Jul</v>
      </c>
      <c r="I423" s="51">
        <f t="shared" ca="1" si="19"/>
        <v>18</v>
      </c>
      <c r="J423" s="52" t="s">
        <v>276</v>
      </c>
      <c r="K423" s="53">
        <v>36890</v>
      </c>
      <c r="L423" s="54">
        <v>1</v>
      </c>
      <c r="M423" s="59">
        <f t="shared" si="20"/>
        <v>36890</v>
      </c>
      <c r="N423" s="100"/>
      <c r="O423" s="45"/>
      <c r="P423" s="39"/>
      <c r="Q423" s="39"/>
      <c r="R423" s="39"/>
      <c r="S423" s="39"/>
      <c r="T423" s="39"/>
      <c r="U423" s="39"/>
      <c r="V423" s="39"/>
      <c r="W423" s="39"/>
      <c r="X423" s="39"/>
      <c r="Y423" s="39"/>
      <c r="Z423" s="39"/>
      <c r="AA423" s="39"/>
      <c r="AB423" s="39"/>
      <c r="AC423" s="39"/>
      <c r="AD423" s="39"/>
      <c r="AE423" s="39"/>
      <c r="AF423" s="39"/>
      <c r="AG423" s="39"/>
      <c r="AH423" s="39"/>
    </row>
    <row r="424" spans="1:34" s="84" customFormat="1" x14ac:dyDescent="0.25">
      <c r="A424" s="39" t="s">
        <v>492</v>
      </c>
      <c r="B424" s="46" t="s">
        <v>271</v>
      </c>
      <c r="C424" s="39" t="s">
        <v>465</v>
      </c>
      <c r="D424" s="102">
        <v>332289257</v>
      </c>
      <c r="E424" s="102">
        <v>9198367725</v>
      </c>
      <c r="F424" s="39" t="s">
        <v>247</v>
      </c>
      <c r="G424" s="81">
        <f>35446+(364+182)</f>
        <v>35992</v>
      </c>
      <c r="H424" s="50" t="str">
        <f t="shared" si="18"/>
        <v>Jul</v>
      </c>
      <c r="I424" s="51">
        <f t="shared" ca="1" si="19"/>
        <v>18</v>
      </c>
      <c r="J424" s="52"/>
      <c r="K424" s="53">
        <v>68260</v>
      </c>
      <c r="L424" s="54">
        <v>5</v>
      </c>
      <c r="M424" s="59">
        <f t="shared" si="20"/>
        <v>68260</v>
      </c>
      <c r="N424" s="100"/>
      <c r="O424" s="45"/>
      <c r="P424" s="39"/>
      <c r="Q424" s="39"/>
      <c r="R424" s="39"/>
      <c r="S424" s="39"/>
      <c r="T424" s="39"/>
      <c r="U424" s="39"/>
      <c r="V424" s="39"/>
      <c r="W424" s="39"/>
      <c r="X424" s="39"/>
      <c r="Y424" s="39"/>
      <c r="Z424" s="39"/>
      <c r="AA424" s="39"/>
      <c r="AB424" s="39"/>
      <c r="AC424" s="39"/>
      <c r="AD424" s="39"/>
      <c r="AE424" s="39"/>
      <c r="AF424" s="39"/>
      <c r="AG424" s="39"/>
      <c r="AH424" s="39"/>
    </row>
    <row r="425" spans="1:34" s="84" customFormat="1" x14ac:dyDescent="0.25">
      <c r="A425" s="39" t="s">
        <v>537</v>
      </c>
      <c r="B425" s="46" t="s">
        <v>271</v>
      </c>
      <c r="C425" s="39" t="s">
        <v>465</v>
      </c>
      <c r="D425" s="102">
        <v>280304785</v>
      </c>
      <c r="E425" s="102">
        <v>2525918708</v>
      </c>
      <c r="F425" s="39" t="s">
        <v>256</v>
      </c>
      <c r="G425" s="81">
        <f>35450+(364+182)</f>
        <v>35996</v>
      </c>
      <c r="H425" s="50" t="str">
        <f t="shared" si="18"/>
        <v>Jul</v>
      </c>
      <c r="I425" s="51">
        <f t="shared" ca="1" si="19"/>
        <v>18</v>
      </c>
      <c r="J425" s="52" t="s">
        <v>257</v>
      </c>
      <c r="K425" s="53">
        <v>40340</v>
      </c>
      <c r="L425" s="54">
        <v>2</v>
      </c>
      <c r="M425" s="59">
        <f t="shared" si="20"/>
        <v>40340</v>
      </c>
      <c r="N425" s="100"/>
      <c r="O425" s="45"/>
      <c r="P425" s="39"/>
      <c r="Q425" s="39"/>
      <c r="R425" s="39"/>
      <c r="S425" s="39"/>
      <c r="T425" s="39"/>
      <c r="U425" s="39"/>
      <c r="V425" s="39"/>
      <c r="W425" s="39"/>
      <c r="X425" s="39"/>
      <c r="Y425" s="39"/>
      <c r="Z425" s="39"/>
      <c r="AA425" s="39"/>
      <c r="AB425" s="39"/>
      <c r="AC425" s="39"/>
      <c r="AD425" s="39"/>
      <c r="AE425" s="39"/>
      <c r="AF425" s="39"/>
      <c r="AG425" s="39"/>
      <c r="AH425" s="39"/>
    </row>
    <row r="426" spans="1:34" s="84" customFormat="1" x14ac:dyDescent="0.25">
      <c r="A426" s="39" t="s">
        <v>614</v>
      </c>
      <c r="B426" s="46" t="s">
        <v>285</v>
      </c>
      <c r="C426" s="39" t="s">
        <v>465</v>
      </c>
      <c r="D426" s="102">
        <v>542653222</v>
      </c>
      <c r="E426" s="102">
        <v>9193708610</v>
      </c>
      <c r="F426" s="39" t="s">
        <v>247</v>
      </c>
      <c r="G426" s="81">
        <f>35451+(364+182)</f>
        <v>35997</v>
      </c>
      <c r="H426" s="50" t="str">
        <f t="shared" si="18"/>
        <v>Jul</v>
      </c>
      <c r="I426" s="51">
        <f t="shared" ca="1" si="19"/>
        <v>18</v>
      </c>
      <c r="J426" s="52"/>
      <c r="K426" s="53">
        <v>72520</v>
      </c>
      <c r="L426" s="54">
        <v>3</v>
      </c>
      <c r="M426" s="59">
        <f t="shared" si="20"/>
        <v>72520</v>
      </c>
      <c r="N426" s="100"/>
      <c r="O426" s="45"/>
      <c r="P426" s="39"/>
      <c r="Q426" s="39"/>
      <c r="R426" s="39"/>
      <c r="S426" s="39"/>
      <c r="T426" s="39"/>
      <c r="U426" s="39"/>
      <c r="V426" s="39"/>
      <c r="W426" s="39"/>
      <c r="X426" s="39"/>
      <c r="Y426" s="39"/>
      <c r="Z426" s="39"/>
      <c r="AA426" s="39"/>
      <c r="AB426" s="39"/>
      <c r="AC426" s="39"/>
      <c r="AD426" s="39"/>
      <c r="AE426" s="39"/>
      <c r="AF426" s="39"/>
      <c r="AG426" s="39"/>
      <c r="AH426" s="39"/>
    </row>
    <row r="427" spans="1:34" s="84" customFormat="1" x14ac:dyDescent="0.25">
      <c r="A427" s="39" t="s">
        <v>393</v>
      </c>
      <c r="B427" s="46" t="s">
        <v>266</v>
      </c>
      <c r="C427" s="39" t="s">
        <v>391</v>
      </c>
      <c r="D427" s="102">
        <v>707882019</v>
      </c>
      <c r="E427" s="102">
        <v>2523373445</v>
      </c>
      <c r="F427" s="39" t="s">
        <v>247</v>
      </c>
      <c r="G427" s="81">
        <f>35796+(364+182)</f>
        <v>36342</v>
      </c>
      <c r="H427" s="50" t="str">
        <f t="shared" si="18"/>
        <v>Jul</v>
      </c>
      <c r="I427" s="51">
        <f t="shared" ca="1" si="19"/>
        <v>17</v>
      </c>
      <c r="J427" s="52"/>
      <c r="K427" s="53">
        <v>86970</v>
      </c>
      <c r="L427" s="54">
        <v>4</v>
      </c>
      <c r="M427" s="59">
        <f t="shared" si="20"/>
        <v>86970</v>
      </c>
      <c r="N427" s="100"/>
      <c r="O427" s="45"/>
      <c r="P427" s="39"/>
      <c r="Q427" s="39"/>
      <c r="R427" s="39"/>
      <c r="S427" s="39"/>
      <c r="T427" s="39"/>
      <c r="U427" s="39"/>
      <c r="V427" s="39"/>
      <c r="W427" s="39"/>
      <c r="X427" s="39"/>
      <c r="Y427" s="39"/>
      <c r="Z427" s="39"/>
      <c r="AA427" s="39"/>
      <c r="AB427" s="39"/>
      <c r="AC427" s="39"/>
      <c r="AD427" s="39"/>
      <c r="AE427" s="39"/>
      <c r="AF427" s="39"/>
      <c r="AG427" s="39"/>
      <c r="AH427" s="39"/>
    </row>
    <row r="428" spans="1:34" s="84" customFormat="1" x14ac:dyDescent="0.25">
      <c r="A428" s="39" t="s">
        <v>572</v>
      </c>
      <c r="B428" s="46" t="s">
        <v>266</v>
      </c>
      <c r="C428" s="39" t="s">
        <v>465</v>
      </c>
      <c r="D428" s="102">
        <v>596641549</v>
      </c>
      <c r="E428" s="102">
        <v>9196194175</v>
      </c>
      <c r="F428" s="39" t="s">
        <v>247</v>
      </c>
      <c r="G428" s="81">
        <f>35804+(364+182)</f>
        <v>36350</v>
      </c>
      <c r="H428" s="50" t="str">
        <f t="shared" si="18"/>
        <v>Jul</v>
      </c>
      <c r="I428" s="51">
        <f t="shared" ca="1" si="19"/>
        <v>17</v>
      </c>
      <c r="J428" s="52"/>
      <c r="K428" s="53">
        <v>27380</v>
      </c>
      <c r="L428" s="54">
        <v>3</v>
      </c>
      <c r="M428" s="59">
        <f t="shared" si="20"/>
        <v>27380</v>
      </c>
      <c r="N428" s="100"/>
      <c r="O428" s="45"/>
      <c r="P428" s="39"/>
      <c r="Q428" s="39"/>
      <c r="R428" s="39"/>
      <c r="S428" s="39"/>
      <c r="T428" s="39"/>
      <c r="U428" s="39"/>
      <c r="V428" s="39"/>
      <c r="W428" s="39"/>
      <c r="X428" s="39"/>
      <c r="Y428" s="39"/>
      <c r="Z428" s="39"/>
      <c r="AA428" s="39"/>
      <c r="AB428" s="39"/>
      <c r="AC428" s="39"/>
      <c r="AD428" s="39"/>
      <c r="AE428" s="39"/>
      <c r="AF428" s="39"/>
      <c r="AG428" s="39"/>
      <c r="AH428" s="39"/>
    </row>
    <row r="429" spans="1:34" s="84" customFormat="1" x14ac:dyDescent="0.25">
      <c r="A429" s="39" t="s">
        <v>408</v>
      </c>
      <c r="B429" s="46" t="s">
        <v>271</v>
      </c>
      <c r="C429" s="39" t="s">
        <v>391</v>
      </c>
      <c r="D429" s="102">
        <v>907491320</v>
      </c>
      <c r="E429" s="102">
        <v>2525724528</v>
      </c>
      <c r="F429" s="39" t="s">
        <v>261</v>
      </c>
      <c r="G429" s="81">
        <f>35811+(364+182)</f>
        <v>36357</v>
      </c>
      <c r="H429" s="50" t="str">
        <f t="shared" si="18"/>
        <v>Jul</v>
      </c>
      <c r="I429" s="51">
        <f t="shared" ca="1" si="19"/>
        <v>17</v>
      </c>
      <c r="J429" s="52" t="s">
        <v>276</v>
      </c>
      <c r="K429" s="53">
        <v>42905</v>
      </c>
      <c r="L429" s="54">
        <v>1</v>
      </c>
      <c r="M429" s="59">
        <f t="shared" si="20"/>
        <v>42905</v>
      </c>
      <c r="N429" s="100"/>
      <c r="O429" s="45"/>
      <c r="P429" s="39"/>
      <c r="Q429" s="39"/>
      <c r="R429" s="39"/>
      <c r="S429" s="39"/>
      <c r="T429" s="39"/>
      <c r="U429" s="39"/>
      <c r="V429" s="39"/>
      <c r="W429" s="39"/>
      <c r="X429" s="39"/>
      <c r="Y429" s="39"/>
      <c r="Z429" s="39"/>
      <c r="AA429" s="39"/>
      <c r="AB429" s="39"/>
      <c r="AC429" s="39"/>
      <c r="AD429" s="39"/>
      <c r="AE429" s="39"/>
      <c r="AF429" s="39"/>
      <c r="AG429" s="39"/>
      <c r="AH429" s="39"/>
    </row>
    <row r="430" spans="1:34" s="84" customFormat="1" x14ac:dyDescent="0.25">
      <c r="A430" s="39" t="s">
        <v>562</v>
      </c>
      <c r="B430" s="46" t="s">
        <v>285</v>
      </c>
      <c r="C430" s="39" t="s">
        <v>465</v>
      </c>
      <c r="D430" s="102">
        <v>110547055</v>
      </c>
      <c r="E430" s="102">
        <v>2526966637</v>
      </c>
      <c r="F430" s="39" t="s">
        <v>261</v>
      </c>
      <c r="G430" s="81">
        <f>35814+(364+182)</f>
        <v>36360</v>
      </c>
      <c r="H430" s="50" t="str">
        <f t="shared" si="18"/>
        <v>Jul</v>
      </c>
      <c r="I430" s="51">
        <f t="shared" ca="1" si="19"/>
        <v>17</v>
      </c>
      <c r="J430" s="52" t="s">
        <v>283</v>
      </c>
      <c r="K430" s="53">
        <v>11065</v>
      </c>
      <c r="L430" s="54">
        <v>1</v>
      </c>
      <c r="M430" s="59">
        <f t="shared" si="20"/>
        <v>11065</v>
      </c>
      <c r="N430" s="100"/>
      <c r="O430" s="45"/>
      <c r="P430" s="39"/>
      <c r="Q430" s="39"/>
      <c r="R430" s="39"/>
      <c r="S430" s="39"/>
      <c r="T430" s="39"/>
      <c r="U430" s="39"/>
      <c r="V430" s="39"/>
      <c r="W430" s="39"/>
      <c r="X430" s="39"/>
      <c r="Y430" s="39"/>
      <c r="Z430" s="39"/>
      <c r="AA430" s="39"/>
      <c r="AB430" s="39"/>
      <c r="AC430" s="39"/>
      <c r="AD430" s="39"/>
      <c r="AE430" s="39"/>
      <c r="AF430" s="39"/>
      <c r="AG430" s="39"/>
      <c r="AH430" s="39"/>
    </row>
    <row r="431" spans="1:34" s="84" customFormat="1" x14ac:dyDescent="0.25">
      <c r="A431" s="39" t="s">
        <v>913</v>
      </c>
      <c r="B431" s="46" t="s">
        <v>245</v>
      </c>
      <c r="C431" s="39" t="s">
        <v>856</v>
      </c>
      <c r="D431" s="102">
        <v>288741910</v>
      </c>
      <c r="E431" s="102">
        <v>2522842668</v>
      </c>
      <c r="F431" s="39" t="s">
        <v>256</v>
      </c>
      <c r="G431" s="81">
        <f>35814+(364+182)</f>
        <v>36360</v>
      </c>
      <c r="H431" s="50" t="str">
        <f t="shared" si="18"/>
        <v>Jul</v>
      </c>
      <c r="I431" s="51">
        <f t="shared" ca="1" si="19"/>
        <v>17</v>
      </c>
      <c r="J431" s="52" t="s">
        <v>283</v>
      </c>
      <c r="K431" s="53">
        <v>67020</v>
      </c>
      <c r="L431" s="54">
        <v>1</v>
      </c>
      <c r="M431" s="59">
        <f t="shared" si="20"/>
        <v>67020</v>
      </c>
      <c r="N431" s="100"/>
      <c r="O431" s="45"/>
      <c r="P431" s="39"/>
      <c r="Q431" s="39"/>
      <c r="R431" s="39"/>
      <c r="S431" s="39"/>
      <c r="T431" s="39"/>
      <c r="U431" s="39"/>
      <c r="V431" s="39"/>
      <c r="W431" s="39"/>
      <c r="X431" s="39"/>
      <c r="Y431" s="39"/>
      <c r="Z431" s="39"/>
      <c r="AA431" s="39"/>
      <c r="AB431" s="39"/>
      <c r="AC431" s="39"/>
      <c r="AD431" s="39"/>
      <c r="AE431" s="39"/>
      <c r="AF431" s="39"/>
      <c r="AG431" s="39"/>
      <c r="AH431" s="39"/>
    </row>
    <row r="432" spans="1:34" s="84" customFormat="1" x14ac:dyDescent="0.25">
      <c r="A432" s="39" t="s">
        <v>997</v>
      </c>
      <c r="B432" s="46" t="s">
        <v>251</v>
      </c>
      <c r="C432" s="39" t="s">
        <v>930</v>
      </c>
      <c r="D432" s="102">
        <v>900160539</v>
      </c>
      <c r="E432" s="102">
        <v>2522749909</v>
      </c>
      <c r="F432" s="39" t="s">
        <v>261</v>
      </c>
      <c r="G432" s="81">
        <f>35819+(364+182)</f>
        <v>36365</v>
      </c>
      <c r="H432" s="50" t="str">
        <f t="shared" si="18"/>
        <v>Jul</v>
      </c>
      <c r="I432" s="51">
        <f t="shared" ca="1" si="19"/>
        <v>17</v>
      </c>
      <c r="J432" s="52" t="s">
        <v>267</v>
      </c>
      <c r="K432" s="53">
        <v>19825</v>
      </c>
      <c r="L432" s="54">
        <v>2</v>
      </c>
      <c r="M432" s="59">
        <f t="shared" si="20"/>
        <v>19825</v>
      </c>
      <c r="N432" s="100"/>
      <c r="O432" s="45"/>
      <c r="P432" s="39"/>
      <c r="Q432" s="39"/>
      <c r="R432" s="39"/>
      <c r="S432" s="39"/>
      <c r="T432" s="39"/>
      <c r="U432" s="39"/>
      <c r="V432" s="39"/>
      <c r="W432" s="39"/>
      <c r="X432" s="39"/>
      <c r="Y432" s="39"/>
      <c r="Z432" s="39"/>
      <c r="AA432" s="39"/>
      <c r="AB432" s="39"/>
      <c r="AC432" s="39"/>
      <c r="AD432" s="39"/>
      <c r="AE432" s="39"/>
      <c r="AF432" s="39"/>
      <c r="AG432" s="39"/>
      <c r="AH432" s="39"/>
    </row>
    <row r="433" spans="1:34" s="84" customFormat="1" x14ac:dyDescent="0.25">
      <c r="A433" s="39" t="s">
        <v>667</v>
      </c>
      <c r="B433" s="46" t="s">
        <v>280</v>
      </c>
      <c r="C433" s="39" t="s">
        <v>626</v>
      </c>
      <c r="D433" s="102">
        <v>357081517</v>
      </c>
      <c r="E433" s="102">
        <v>2527660273</v>
      </c>
      <c r="F433" s="39" t="s">
        <v>261</v>
      </c>
      <c r="G433" s="81">
        <f>35825+(364+182)</f>
        <v>36371</v>
      </c>
      <c r="H433" s="50" t="str">
        <f t="shared" si="18"/>
        <v>Jul</v>
      </c>
      <c r="I433" s="51">
        <f t="shared" ca="1" si="19"/>
        <v>17</v>
      </c>
      <c r="J433" s="52" t="s">
        <v>283</v>
      </c>
      <c r="K433" s="53">
        <v>26790</v>
      </c>
      <c r="L433" s="54">
        <v>2</v>
      </c>
      <c r="M433" s="59">
        <f t="shared" si="20"/>
        <v>26790</v>
      </c>
      <c r="N433" s="100"/>
      <c r="O433" s="45"/>
      <c r="P433" s="39"/>
      <c r="Q433" s="39"/>
      <c r="R433" s="39"/>
      <c r="S433" s="39"/>
      <c r="T433" s="39"/>
      <c r="U433" s="39"/>
      <c r="V433" s="39"/>
      <c r="W433" s="39"/>
      <c r="X433" s="39"/>
      <c r="Y433" s="39"/>
      <c r="Z433" s="39"/>
      <c r="AA433" s="39"/>
      <c r="AB433" s="39"/>
      <c r="AC433" s="39"/>
      <c r="AD433" s="39"/>
      <c r="AE433" s="39"/>
      <c r="AF433" s="39"/>
      <c r="AG433" s="39"/>
      <c r="AH433" s="39"/>
    </row>
    <row r="434" spans="1:34" s="84" customFormat="1" x14ac:dyDescent="0.25">
      <c r="A434" s="39" t="s">
        <v>534</v>
      </c>
      <c r="B434" s="46" t="s">
        <v>285</v>
      </c>
      <c r="C434" s="39" t="s">
        <v>465</v>
      </c>
      <c r="D434" s="102">
        <v>130619578</v>
      </c>
      <c r="E434" s="102">
        <v>9195057530</v>
      </c>
      <c r="F434" s="39" t="s">
        <v>247</v>
      </c>
      <c r="G434" s="81">
        <f>36172+(364+182)</f>
        <v>36718</v>
      </c>
      <c r="H434" s="50" t="str">
        <f t="shared" si="18"/>
        <v>Jul</v>
      </c>
      <c r="I434" s="51">
        <f t="shared" ca="1" si="19"/>
        <v>16</v>
      </c>
      <c r="J434" s="52"/>
      <c r="K434" s="53">
        <v>89520</v>
      </c>
      <c r="L434" s="54">
        <v>5</v>
      </c>
      <c r="M434" s="59">
        <f t="shared" si="20"/>
        <v>89520</v>
      </c>
      <c r="N434" s="100"/>
      <c r="O434" s="45"/>
      <c r="P434" s="39"/>
      <c r="Q434" s="39"/>
      <c r="R434" s="39"/>
      <c r="S434" s="39"/>
      <c r="T434" s="39"/>
      <c r="U434" s="39"/>
      <c r="V434" s="39"/>
      <c r="W434" s="39"/>
      <c r="X434" s="39"/>
      <c r="Y434" s="39"/>
      <c r="Z434" s="39"/>
      <c r="AA434" s="39"/>
      <c r="AB434" s="39"/>
      <c r="AC434" s="39"/>
      <c r="AD434" s="39"/>
      <c r="AE434" s="39"/>
      <c r="AF434" s="39"/>
      <c r="AG434" s="39"/>
      <c r="AH434" s="39"/>
    </row>
    <row r="435" spans="1:34" s="84" customFormat="1" x14ac:dyDescent="0.25">
      <c r="A435" s="39" t="s">
        <v>545</v>
      </c>
      <c r="B435" s="46" t="s">
        <v>285</v>
      </c>
      <c r="C435" s="39" t="s">
        <v>465</v>
      </c>
      <c r="D435" s="102">
        <v>251824309</v>
      </c>
      <c r="E435" s="102">
        <v>9197950668</v>
      </c>
      <c r="F435" s="39" t="s">
        <v>247</v>
      </c>
      <c r="G435" s="81">
        <f>36183+(364+182)</f>
        <v>36729</v>
      </c>
      <c r="H435" s="50" t="str">
        <f t="shared" si="18"/>
        <v>Jul</v>
      </c>
      <c r="I435" s="51">
        <f t="shared" ca="1" si="19"/>
        <v>16</v>
      </c>
      <c r="J435" s="52"/>
      <c r="K435" s="53">
        <v>45420</v>
      </c>
      <c r="L435" s="54">
        <v>1</v>
      </c>
      <c r="M435" s="59">
        <f t="shared" si="20"/>
        <v>45420</v>
      </c>
      <c r="N435" s="100"/>
      <c r="O435" s="45"/>
      <c r="P435" s="39"/>
      <c r="Q435" s="39"/>
      <c r="R435" s="39"/>
      <c r="S435" s="39"/>
      <c r="T435" s="39"/>
      <c r="U435" s="39"/>
      <c r="V435" s="39"/>
      <c r="W435" s="39"/>
      <c r="X435" s="39"/>
      <c r="Y435" s="39"/>
      <c r="Z435" s="39"/>
      <c r="AA435" s="39"/>
      <c r="AB435" s="39"/>
      <c r="AC435" s="39"/>
      <c r="AD435" s="39"/>
      <c r="AE435" s="39"/>
      <c r="AF435" s="39"/>
      <c r="AG435" s="39"/>
      <c r="AH435" s="39"/>
    </row>
    <row r="436" spans="1:34" s="84" customFormat="1" x14ac:dyDescent="0.25">
      <c r="A436" s="39" t="s">
        <v>1027</v>
      </c>
      <c r="B436" s="46" t="s">
        <v>245</v>
      </c>
      <c r="C436" s="39" t="s">
        <v>1025</v>
      </c>
      <c r="D436" s="102">
        <v>797985708</v>
      </c>
      <c r="E436" s="102">
        <v>9193578185</v>
      </c>
      <c r="F436" s="39" t="s">
        <v>256</v>
      </c>
      <c r="G436" s="81">
        <f>36527+(364+182)</f>
        <v>37073</v>
      </c>
      <c r="H436" s="50" t="str">
        <f t="shared" si="18"/>
        <v>Jul</v>
      </c>
      <c r="I436" s="51">
        <f t="shared" ca="1" si="19"/>
        <v>15</v>
      </c>
      <c r="J436" s="52" t="s">
        <v>276</v>
      </c>
      <c r="K436" s="53">
        <v>40680</v>
      </c>
      <c r="L436" s="54">
        <v>5</v>
      </c>
      <c r="M436" s="59">
        <f t="shared" si="20"/>
        <v>40680</v>
      </c>
      <c r="N436" s="100"/>
      <c r="O436" s="45"/>
      <c r="P436" s="39"/>
      <c r="Q436" s="39"/>
      <c r="R436" s="39"/>
      <c r="S436" s="39"/>
      <c r="T436" s="39"/>
      <c r="U436" s="39"/>
      <c r="V436" s="39"/>
      <c r="W436" s="39"/>
      <c r="X436" s="39"/>
      <c r="Y436" s="39"/>
      <c r="Z436" s="39"/>
      <c r="AA436" s="39"/>
      <c r="AB436" s="39"/>
      <c r="AC436" s="39"/>
      <c r="AD436" s="39"/>
      <c r="AE436" s="39"/>
      <c r="AF436" s="39"/>
      <c r="AG436" s="39"/>
      <c r="AH436" s="39"/>
    </row>
    <row r="437" spans="1:34" s="84" customFormat="1" x14ac:dyDescent="0.25">
      <c r="A437" s="39" t="s">
        <v>926</v>
      </c>
      <c r="B437" s="46" t="s">
        <v>251</v>
      </c>
      <c r="C437" s="39" t="s">
        <v>856</v>
      </c>
      <c r="D437" s="102">
        <v>368385341</v>
      </c>
      <c r="E437" s="102">
        <v>9195526537</v>
      </c>
      <c r="F437" s="39" t="s">
        <v>247</v>
      </c>
      <c r="G437" s="81">
        <f>36536+(364+182)</f>
        <v>37082</v>
      </c>
      <c r="H437" s="50" t="str">
        <f t="shared" si="18"/>
        <v>Jul</v>
      </c>
      <c r="I437" s="51">
        <f t="shared" ca="1" si="19"/>
        <v>15</v>
      </c>
      <c r="J437" s="52"/>
      <c r="K437" s="53">
        <v>46780</v>
      </c>
      <c r="L437" s="54">
        <v>2</v>
      </c>
      <c r="M437" s="59">
        <f t="shared" si="20"/>
        <v>46780</v>
      </c>
      <c r="N437" s="100"/>
      <c r="O437" s="45"/>
      <c r="P437" s="39"/>
      <c r="Q437" s="39"/>
      <c r="R437" s="39"/>
      <c r="S437" s="39"/>
      <c r="T437" s="39"/>
      <c r="U437" s="39"/>
      <c r="V437" s="39"/>
      <c r="W437" s="39"/>
      <c r="X437" s="39"/>
      <c r="Y437" s="39"/>
      <c r="Z437" s="39"/>
      <c r="AA437" s="39"/>
      <c r="AB437" s="39"/>
      <c r="AC437" s="39"/>
      <c r="AD437" s="39"/>
      <c r="AE437" s="39"/>
      <c r="AF437" s="39"/>
      <c r="AG437" s="39"/>
      <c r="AH437" s="39"/>
    </row>
    <row r="438" spans="1:34" s="84" customFormat="1" x14ac:dyDescent="0.25">
      <c r="A438" s="39" t="s">
        <v>975</v>
      </c>
      <c r="B438" s="46" t="s">
        <v>271</v>
      </c>
      <c r="C438" s="39" t="s">
        <v>930</v>
      </c>
      <c r="D438" s="102">
        <v>916944119</v>
      </c>
      <c r="E438" s="102">
        <v>2524907564</v>
      </c>
      <c r="F438" s="39" t="s">
        <v>247</v>
      </c>
      <c r="G438" s="108">
        <f>36553+(364+182)</f>
        <v>37099</v>
      </c>
      <c r="H438" s="50" t="str">
        <f t="shared" si="18"/>
        <v>Jul</v>
      </c>
      <c r="I438" s="51">
        <f t="shared" ca="1" si="19"/>
        <v>15</v>
      </c>
      <c r="J438" s="52"/>
      <c r="K438" s="53">
        <v>28270</v>
      </c>
      <c r="L438" s="54">
        <v>5</v>
      </c>
      <c r="M438" s="59">
        <f t="shared" si="20"/>
        <v>28270</v>
      </c>
      <c r="N438" s="100"/>
      <c r="O438" s="45"/>
      <c r="P438" s="39"/>
      <c r="Q438" s="39"/>
      <c r="R438" s="39"/>
      <c r="S438" s="39"/>
      <c r="T438" s="39"/>
      <c r="U438" s="39"/>
      <c r="V438" s="39"/>
      <c r="W438" s="39"/>
      <c r="X438" s="39"/>
      <c r="Y438" s="39"/>
      <c r="Z438" s="39"/>
      <c r="AA438" s="39"/>
      <c r="AB438" s="39"/>
      <c r="AC438" s="39"/>
      <c r="AD438" s="39"/>
      <c r="AE438" s="39"/>
      <c r="AF438" s="39"/>
      <c r="AG438" s="39"/>
      <c r="AH438" s="39"/>
    </row>
    <row r="439" spans="1:34" s="84" customFormat="1" x14ac:dyDescent="0.25">
      <c r="A439" s="39" t="s">
        <v>1005</v>
      </c>
      <c r="B439" s="46" t="s">
        <v>266</v>
      </c>
      <c r="C439" s="39" t="s">
        <v>930</v>
      </c>
      <c r="D439" s="102">
        <v>626648632</v>
      </c>
      <c r="E439" s="102">
        <v>2526412482</v>
      </c>
      <c r="F439" s="39" t="s">
        <v>247</v>
      </c>
      <c r="G439" s="81">
        <f>36907+(364+182)</f>
        <v>37453</v>
      </c>
      <c r="H439" s="50" t="str">
        <f t="shared" si="18"/>
        <v>Jul</v>
      </c>
      <c r="I439" s="51">
        <f t="shared" ca="1" si="19"/>
        <v>14</v>
      </c>
      <c r="J439" s="52"/>
      <c r="K439" s="53">
        <v>49090</v>
      </c>
      <c r="L439" s="54">
        <v>4</v>
      </c>
      <c r="M439" s="59">
        <f t="shared" si="20"/>
        <v>49090</v>
      </c>
      <c r="N439" s="100"/>
      <c r="O439" s="45"/>
      <c r="P439" s="39"/>
      <c r="Q439" s="39"/>
      <c r="R439" s="39"/>
      <c r="S439" s="39"/>
      <c r="T439" s="39"/>
      <c r="U439" s="39"/>
      <c r="V439" s="39"/>
      <c r="W439" s="39"/>
      <c r="X439" s="39"/>
      <c r="Y439" s="39"/>
      <c r="Z439" s="39"/>
      <c r="AA439" s="39"/>
      <c r="AB439" s="39"/>
      <c r="AC439" s="39"/>
      <c r="AD439" s="39"/>
      <c r="AE439" s="39"/>
      <c r="AF439" s="39"/>
      <c r="AG439" s="39"/>
      <c r="AH439" s="39"/>
    </row>
    <row r="440" spans="1:34" s="84" customFormat="1" x14ac:dyDescent="0.25">
      <c r="A440" s="39" t="s">
        <v>689</v>
      </c>
      <c r="B440" s="46" t="s">
        <v>285</v>
      </c>
      <c r="C440" s="39" t="s">
        <v>678</v>
      </c>
      <c r="D440" s="102">
        <v>167646549</v>
      </c>
      <c r="E440" s="102">
        <v>9197187041</v>
      </c>
      <c r="F440" s="39" t="s">
        <v>247</v>
      </c>
      <c r="G440" s="81">
        <f>37257+(364+182)</f>
        <v>37803</v>
      </c>
      <c r="H440" s="50" t="str">
        <f t="shared" si="18"/>
        <v>Jul</v>
      </c>
      <c r="I440" s="51">
        <f t="shared" ca="1" si="19"/>
        <v>13</v>
      </c>
      <c r="J440" s="52"/>
      <c r="K440" s="53">
        <v>78100</v>
      </c>
      <c r="L440" s="54">
        <v>3</v>
      </c>
      <c r="M440" s="59">
        <f t="shared" si="20"/>
        <v>78100</v>
      </c>
      <c r="N440" s="100"/>
      <c r="O440" s="45"/>
      <c r="P440" s="39"/>
      <c r="Q440" s="39"/>
      <c r="R440" s="39"/>
      <c r="S440" s="39"/>
      <c r="T440" s="39"/>
      <c r="U440" s="39"/>
      <c r="V440" s="39"/>
      <c r="W440" s="39"/>
      <c r="X440" s="39"/>
      <c r="Y440" s="39"/>
      <c r="Z440" s="39"/>
      <c r="AA440" s="39"/>
      <c r="AB440" s="39"/>
      <c r="AC440" s="39"/>
      <c r="AD440" s="39"/>
      <c r="AE440" s="39"/>
      <c r="AF440" s="39"/>
      <c r="AG440" s="39"/>
      <c r="AH440" s="39"/>
    </row>
    <row r="441" spans="1:34" s="84" customFormat="1" x14ac:dyDescent="0.25">
      <c r="A441" s="39" t="s">
        <v>946</v>
      </c>
      <c r="B441" s="46" t="s">
        <v>285</v>
      </c>
      <c r="C441" s="39" t="s">
        <v>930</v>
      </c>
      <c r="D441" s="102">
        <v>177324163</v>
      </c>
      <c r="E441" s="102">
        <v>2527091949</v>
      </c>
      <c r="F441" s="39" t="s">
        <v>256</v>
      </c>
      <c r="G441" s="81">
        <f>37264+(364+182)</f>
        <v>37810</v>
      </c>
      <c r="H441" s="50" t="str">
        <f t="shared" si="18"/>
        <v>Jul</v>
      </c>
      <c r="I441" s="51">
        <f t="shared" ca="1" si="19"/>
        <v>13</v>
      </c>
      <c r="J441" s="52" t="s">
        <v>283</v>
      </c>
      <c r="K441" s="53">
        <v>48010</v>
      </c>
      <c r="L441" s="54">
        <v>3</v>
      </c>
      <c r="M441" s="59">
        <f t="shared" si="20"/>
        <v>48010</v>
      </c>
      <c r="N441" s="100"/>
      <c r="O441" s="45"/>
      <c r="P441" s="39"/>
      <c r="Q441" s="39"/>
      <c r="R441" s="39"/>
      <c r="S441" s="39"/>
      <c r="T441" s="39"/>
      <c r="U441" s="39"/>
      <c r="V441" s="39"/>
      <c r="W441" s="39"/>
      <c r="X441" s="39"/>
      <c r="Y441" s="39"/>
      <c r="Z441" s="39"/>
      <c r="AA441" s="39"/>
      <c r="AB441" s="39"/>
      <c r="AC441" s="39"/>
      <c r="AD441" s="39"/>
      <c r="AE441" s="39"/>
      <c r="AF441" s="39"/>
      <c r="AG441" s="39"/>
      <c r="AH441" s="39"/>
    </row>
    <row r="442" spans="1:34" s="84" customFormat="1" x14ac:dyDescent="0.25">
      <c r="A442" s="39" t="s">
        <v>881</v>
      </c>
      <c r="B442" s="46" t="s">
        <v>280</v>
      </c>
      <c r="C442" s="39" t="s">
        <v>856</v>
      </c>
      <c r="D442" s="102">
        <v>614562070</v>
      </c>
      <c r="E442" s="102">
        <v>9192485673</v>
      </c>
      <c r="F442" s="39" t="s">
        <v>261</v>
      </c>
      <c r="G442" s="81">
        <f>37269+(364+182)</f>
        <v>37815</v>
      </c>
      <c r="H442" s="50" t="str">
        <f t="shared" si="18"/>
        <v>Jul</v>
      </c>
      <c r="I442" s="51">
        <f t="shared" ca="1" si="19"/>
        <v>13</v>
      </c>
      <c r="J442" s="52" t="s">
        <v>257</v>
      </c>
      <c r="K442" s="53">
        <v>48740</v>
      </c>
      <c r="L442" s="54">
        <v>1</v>
      </c>
      <c r="M442" s="59">
        <f t="shared" si="20"/>
        <v>48740</v>
      </c>
      <c r="N442" s="100"/>
      <c r="O442" s="45"/>
      <c r="P442" s="39"/>
      <c r="Q442" s="39"/>
      <c r="R442" s="39"/>
      <c r="S442" s="39"/>
      <c r="T442" s="39"/>
      <c r="U442" s="39"/>
      <c r="V442" s="39"/>
      <c r="W442" s="39"/>
      <c r="X442" s="39"/>
      <c r="Y442" s="39"/>
      <c r="Z442" s="39"/>
      <c r="AA442" s="39"/>
      <c r="AB442" s="39"/>
      <c r="AC442" s="39"/>
      <c r="AD442" s="39"/>
      <c r="AE442" s="39"/>
      <c r="AF442" s="39"/>
      <c r="AG442" s="39"/>
      <c r="AH442" s="39"/>
    </row>
    <row r="443" spans="1:34" s="84" customFormat="1" x14ac:dyDescent="0.25">
      <c r="A443" s="39" t="s">
        <v>493</v>
      </c>
      <c r="B443" s="46" t="s">
        <v>266</v>
      </c>
      <c r="C443" s="39" t="s">
        <v>465</v>
      </c>
      <c r="D443" s="102">
        <v>143534593</v>
      </c>
      <c r="E443" s="102">
        <v>2527172882</v>
      </c>
      <c r="F443" s="39" t="s">
        <v>247</v>
      </c>
      <c r="G443" s="81">
        <f>37274+(364+182)</f>
        <v>37820</v>
      </c>
      <c r="H443" s="50" t="str">
        <f t="shared" si="18"/>
        <v>Jul</v>
      </c>
      <c r="I443" s="51">
        <f t="shared" ca="1" si="19"/>
        <v>13</v>
      </c>
      <c r="J443" s="52"/>
      <c r="K443" s="53">
        <v>75420</v>
      </c>
      <c r="L443" s="54">
        <v>1</v>
      </c>
      <c r="M443" s="59">
        <f t="shared" si="20"/>
        <v>75420</v>
      </c>
      <c r="N443" s="100"/>
      <c r="O443" s="45"/>
      <c r="P443" s="39"/>
      <c r="Q443" s="39"/>
      <c r="R443" s="39"/>
      <c r="S443" s="39"/>
      <c r="T443" s="39"/>
      <c r="U443" s="39"/>
      <c r="V443" s="39"/>
      <c r="W443" s="39"/>
      <c r="X443" s="39"/>
      <c r="Y443" s="39"/>
      <c r="Z443" s="39"/>
      <c r="AA443" s="39"/>
      <c r="AB443" s="39"/>
      <c r="AC443" s="39"/>
      <c r="AD443" s="39"/>
      <c r="AE443" s="39"/>
      <c r="AF443" s="39"/>
      <c r="AG443" s="39"/>
      <c r="AH443" s="39"/>
    </row>
    <row r="444" spans="1:34" s="84" customFormat="1" x14ac:dyDescent="0.25">
      <c r="A444" s="39" t="s">
        <v>683</v>
      </c>
      <c r="B444" s="46" t="s">
        <v>266</v>
      </c>
      <c r="C444" s="39" t="s">
        <v>678</v>
      </c>
      <c r="D444" s="102">
        <v>917195248</v>
      </c>
      <c r="E444" s="102">
        <v>9194605984</v>
      </c>
      <c r="F444" s="39" t="s">
        <v>252</v>
      </c>
      <c r="G444" s="81">
        <f>37281+(364+182)</f>
        <v>37827</v>
      </c>
      <c r="H444" s="50" t="str">
        <f t="shared" si="18"/>
        <v>Jul</v>
      </c>
      <c r="I444" s="51">
        <f t="shared" ca="1" si="19"/>
        <v>13</v>
      </c>
      <c r="J444" s="52"/>
      <c r="K444" s="53">
        <v>11044</v>
      </c>
      <c r="L444" s="54">
        <v>2</v>
      </c>
      <c r="M444" s="59">
        <f t="shared" si="20"/>
        <v>11044</v>
      </c>
      <c r="N444" s="100"/>
      <c r="O444" s="45"/>
      <c r="P444" s="39"/>
      <c r="Q444" s="39"/>
      <c r="R444" s="39"/>
      <c r="S444" s="39"/>
      <c r="T444" s="39"/>
      <c r="U444" s="39"/>
      <c r="V444" s="39"/>
      <c r="W444" s="39"/>
      <c r="X444" s="39"/>
      <c r="Y444" s="39"/>
      <c r="Z444" s="39"/>
      <c r="AA444" s="39"/>
      <c r="AB444" s="39"/>
      <c r="AC444" s="39"/>
      <c r="AD444" s="39"/>
      <c r="AE444" s="39"/>
      <c r="AF444" s="39"/>
      <c r="AG444" s="39"/>
      <c r="AH444" s="39"/>
    </row>
    <row r="445" spans="1:34" s="84" customFormat="1" x14ac:dyDescent="0.25">
      <c r="A445" s="39" t="s">
        <v>833</v>
      </c>
      <c r="B445" s="46" t="s">
        <v>285</v>
      </c>
      <c r="C445" s="39" t="s">
        <v>767</v>
      </c>
      <c r="D445" s="102">
        <v>115404531</v>
      </c>
      <c r="E445" s="102">
        <v>2522636321</v>
      </c>
      <c r="F445" s="39" t="s">
        <v>261</v>
      </c>
      <c r="G445" s="108">
        <f>37627+(364+182)</f>
        <v>38173</v>
      </c>
      <c r="H445" s="50" t="str">
        <f t="shared" si="18"/>
        <v>Jul</v>
      </c>
      <c r="I445" s="51">
        <f t="shared" ca="1" si="19"/>
        <v>12</v>
      </c>
      <c r="J445" s="52" t="s">
        <v>283</v>
      </c>
      <c r="K445" s="53">
        <v>32900</v>
      </c>
      <c r="L445" s="54">
        <v>2</v>
      </c>
      <c r="M445" s="59">
        <f t="shared" si="20"/>
        <v>32900</v>
      </c>
      <c r="N445" s="100"/>
      <c r="O445" s="45"/>
      <c r="P445" s="39"/>
      <c r="Q445" s="39"/>
      <c r="R445" s="39"/>
      <c r="S445" s="39"/>
      <c r="T445" s="39"/>
      <c r="U445" s="39"/>
      <c r="V445" s="39"/>
      <c r="W445" s="39"/>
      <c r="X445" s="39"/>
      <c r="Y445" s="39"/>
      <c r="Z445" s="39"/>
      <c r="AA445" s="39"/>
      <c r="AB445" s="39"/>
      <c r="AC445" s="39"/>
      <c r="AD445" s="39"/>
      <c r="AE445" s="39"/>
      <c r="AF445" s="39"/>
      <c r="AG445" s="39"/>
      <c r="AH445" s="39"/>
    </row>
    <row r="446" spans="1:34" s="84" customFormat="1" x14ac:dyDescent="0.25">
      <c r="A446" s="39" t="s">
        <v>496</v>
      </c>
      <c r="B446" s="46" t="s">
        <v>245</v>
      </c>
      <c r="C446" s="39" t="s">
        <v>465</v>
      </c>
      <c r="D446" s="102">
        <v>470935648</v>
      </c>
      <c r="E446" s="102">
        <v>9192053579</v>
      </c>
      <c r="F446" s="39" t="s">
        <v>247</v>
      </c>
      <c r="G446" s="81">
        <f>37991+(364+182)</f>
        <v>38537</v>
      </c>
      <c r="H446" s="50" t="str">
        <f t="shared" si="18"/>
        <v>Jul</v>
      </c>
      <c r="I446" s="51">
        <f t="shared" ca="1" si="19"/>
        <v>11</v>
      </c>
      <c r="J446" s="52"/>
      <c r="K446" s="53">
        <v>39680</v>
      </c>
      <c r="L446" s="54">
        <v>1</v>
      </c>
      <c r="M446" s="59">
        <f t="shared" si="20"/>
        <v>39680</v>
      </c>
      <c r="N446" s="100"/>
      <c r="O446" s="45"/>
      <c r="P446" s="39"/>
      <c r="Q446" s="39"/>
      <c r="R446" s="39"/>
      <c r="S446" s="39"/>
      <c r="T446" s="39"/>
      <c r="U446" s="39"/>
      <c r="V446" s="39"/>
      <c r="W446" s="39"/>
      <c r="X446" s="39"/>
      <c r="Y446" s="39"/>
      <c r="Z446" s="39"/>
      <c r="AA446" s="39"/>
      <c r="AB446" s="39"/>
      <c r="AC446" s="39"/>
      <c r="AD446" s="39"/>
      <c r="AE446" s="39"/>
      <c r="AF446" s="39"/>
      <c r="AG446" s="39"/>
      <c r="AH446" s="39"/>
    </row>
    <row r="447" spans="1:34" s="84" customFormat="1" x14ac:dyDescent="0.25">
      <c r="A447" s="39" t="s">
        <v>923</v>
      </c>
      <c r="B447" s="46" t="s">
        <v>285</v>
      </c>
      <c r="C447" s="39" t="s">
        <v>856</v>
      </c>
      <c r="D447" s="102">
        <v>647131956</v>
      </c>
      <c r="E447" s="102">
        <v>2521240785</v>
      </c>
      <c r="F447" s="39" t="s">
        <v>256</v>
      </c>
      <c r="G447" s="81">
        <f>38356+(364+182)</f>
        <v>38902</v>
      </c>
      <c r="H447" s="50" t="str">
        <f t="shared" si="18"/>
        <v>Jul</v>
      </c>
      <c r="I447" s="51">
        <f t="shared" ca="1" si="19"/>
        <v>10</v>
      </c>
      <c r="J447" s="52" t="s">
        <v>257</v>
      </c>
      <c r="K447" s="53">
        <v>73560</v>
      </c>
      <c r="L447" s="54">
        <v>3</v>
      </c>
      <c r="M447" s="59">
        <f t="shared" si="20"/>
        <v>73560</v>
      </c>
      <c r="N447" s="100"/>
      <c r="O447" s="45"/>
      <c r="P447" s="39"/>
      <c r="Q447" s="39"/>
      <c r="R447" s="39"/>
      <c r="S447" s="39"/>
      <c r="T447" s="39"/>
      <c r="U447" s="39"/>
      <c r="V447" s="39"/>
      <c r="W447" s="39"/>
      <c r="X447" s="39"/>
      <c r="Y447" s="39"/>
      <c r="Z447" s="39"/>
      <c r="AA447" s="39"/>
      <c r="AB447" s="39"/>
      <c r="AC447" s="39"/>
      <c r="AD447" s="39"/>
      <c r="AE447" s="39"/>
      <c r="AF447" s="39"/>
      <c r="AG447" s="39"/>
      <c r="AH447" s="39"/>
    </row>
    <row r="448" spans="1:34" s="84" customFormat="1" x14ac:dyDescent="0.25">
      <c r="A448" s="39" t="s">
        <v>511</v>
      </c>
      <c r="B448" s="46" t="s">
        <v>251</v>
      </c>
      <c r="C448" s="39" t="s">
        <v>465</v>
      </c>
      <c r="D448" s="102">
        <v>240272873</v>
      </c>
      <c r="E448" s="102">
        <v>9198912054</v>
      </c>
      <c r="F448" s="39" t="s">
        <v>247</v>
      </c>
      <c r="G448" s="81">
        <f>38366+(364+182)</f>
        <v>38912</v>
      </c>
      <c r="H448" s="50" t="str">
        <f t="shared" si="18"/>
        <v>Jul</v>
      </c>
      <c r="I448" s="51">
        <f t="shared" ca="1" si="19"/>
        <v>10</v>
      </c>
      <c r="J448" s="52"/>
      <c r="K448" s="53">
        <v>80330</v>
      </c>
      <c r="L448" s="54">
        <v>4</v>
      </c>
      <c r="M448" s="59">
        <f t="shared" si="20"/>
        <v>80330</v>
      </c>
      <c r="N448" s="100"/>
      <c r="O448" s="45"/>
      <c r="P448" s="39"/>
      <c r="Q448" s="39"/>
      <c r="R448" s="39"/>
      <c r="S448" s="39"/>
      <c r="T448" s="39"/>
      <c r="U448" s="39"/>
      <c r="V448" s="39"/>
      <c r="W448" s="39"/>
      <c r="X448" s="39"/>
      <c r="Y448" s="39"/>
      <c r="Z448" s="39"/>
      <c r="AA448" s="39"/>
      <c r="AB448" s="39"/>
      <c r="AC448" s="39"/>
      <c r="AD448" s="39"/>
      <c r="AE448" s="39"/>
      <c r="AF448" s="39"/>
      <c r="AG448" s="39"/>
      <c r="AH448" s="39"/>
    </row>
    <row r="449" spans="1:34" s="84" customFormat="1" x14ac:dyDescent="0.25">
      <c r="A449" s="39" t="s">
        <v>723</v>
      </c>
      <c r="B449" s="46" t="s">
        <v>285</v>
      </c>
      <c r="C449" s="39" t="s">
        <v>705</v>
      </c>
      <c r="D449" s="102">
        <v>619465100</v>
      </c>
      <c r="E449" s="102">
        <v>9194629606</v>
      </c>
      <c r="F449" s="39" t="s">
        <v>256</v>
      </c>
      <c r="G449" s="81">
        <f>38370+(364+182)</f>
        <v>38916</v>
      </c>
      <c r="H449" s="50" t="str">
        <f t="shared" si="18"/>
        <v>Jul</v>
      </c>
      <c r="I449" s="51">
        <f t="shared" ca="1" si="19"/>
        <v>10</v>
      </c>
      <c r="J449" s="52" t="s">
        <v>262</v>
      </c>
      <c r="K449" s="53">
        <v>27560</v>
      </c>
      <c r="L449" s="54">
        <v>2</v>
      </c>
      <c r="M449" s="59">
        <f t="shared" si="20"/>
        <v>27560</v>
      </c>
      <c r="N449" s="100"/>
      <c r="O449" s="45"/>
      <c r="P449" s="39"/>
      <c r="Q449" s="39"/>
      <c r="R449" s="39"/>
      <c r="S449" s="39"/>
      <c r="T449" s="39"/>
      <c r="U449" s="39"/>
      <c r="V449" s="39"/>
      <c r="W449" s="39"/>
      <c r="X449" s="39"/>
      <c r="Y449" s="39"/>
      <c r="Z449" s="39"/>
      <c r="AA449" s="39"/>
      <c r="AB449" s="39"/>
      <c r="AC449" s="39"/>
      <c r="AD449" s="39"/>
      <c r="AE449" s="39"/>
      <c r="AF449" s="39"/>
      <c r="AG449" s="39"/>
      <c r="AH449" s="39"/>
    </row>
    <row r="450" spans="1:34" s="84" customFormat="1" x14ac:dyDescent="0.25">
      <c r="A450" s="39" t="s">
        <v>656</v>
      </c>
      <c r="B450" s="46" t="s">
        <v>271</v>
      </c>
      <c r="C450" s="39" t="s">
        <v>626</v>
      </c>
      <c r="D450" s="102">
        <v>400260342</v>
      </c>
      <c r="E450" s="102">
        <v>9196798743</v>
      </c>
      <c r="F450" s="39" t="s">
        <v>247</v>
      </c>
      <c r="G450" s="81">
        <f>38737+(364+182)</f>
        <v>39283</v>
      </c>
      <c r="H450" s="50" t="str">
        <f t="shared" si="18"/>
        <v>Jul</v>
      </c>
      <c r="I450" s="51">
        <f t="shared" ca="1" si="19"/>
        <v>9</v>
      </c>
      <c r="J450" s="52"/>
      <c r="K450" s="53">
        <v>74470</v>
      </c>
      <c r="L450" s="54">
        <v>3</v>
      </c>
      <c r="M450" s="59">
        <f t="shared" si="20"/>
        <v>74470</v>
      </c>
      <c r="N450" s="100"/>
      <c r="O450" s="45"/>
      <c r="P450" s="39"/>
      <c r="Q450" s="39"/>
      <c r="R450" s="39"/>
      <c r="S450" s="39"/>
      <c r="T450" s="39"/>
      <c r="U450" s="39"/>
      <c r="V450" s="39"/>
      <c r="W450" s="39"/>
      <c r="X450" s="39"/>
      <c r="Y450" s="39"/>
      <c r="Z450" s="39"/>
      <c r="AA450" s="39"/>
      <c r="AB450" s="39"/>
      <c r="AC450" s="39"/>
      <c r="AD450" s="39"/>
      <c r="AE450" s="39"/>
      <c r="AF450" s="39"/>
      <c r="AG450" s="39"/>
      <c r="AH450" s="39"/>
    </row>
    <row r="451" spans="1:34" s="84" customFormat="1" x14ac:dyDescent="0.25">
      <c r="A451" s="39" t="s">
        <v>940</v>
      </c>
      <c r="B451" s="46" t="s">
        <v>285</v>
      </c>
      <c r="C451" s="39" t="s">
        <v>930</v>
      </c>
      <c r="D451" s="102">
        <v>771110153</v>
      </c>
      <c r="E451" s="102">
        <v>9196799516</v>
      </c>
      <c r="F451" s="39" t="s">
        <v>256</v>
      </c>
      <c r="G451" s="81">
        <f>38737+(364+182)</f>
        <v>39283</v>
      </c>
      <c r="H451" s="50" t="str">
        <f t="shared" ref="H451:H514" si="21">CHOOSE(MONTH(G451),"Jan","Feb","Mar","Apr","May","Jun","Jul","Aug","Sep","Oct","Nov","Dec")</f>
        <v>Jul</v>
      </c>
      <c r="I451" s="51">
        <f t="shared" ref="I451:I514" ca="1" si="22">DATEDIF(G451,TODAY(),"Y")</f>
        <v>9</v>
      </c>
      <c r="J451" s="52" t="s">
        <v>257</v>
      </c>
      <c r="K451" s="53">
        <v>24980</v>
      </c>
      <c r="L451" s="54">
        <v>3</v>
      </c>
      <c r="M451" s="59">
        <f t="shared" ref="M451:M514" si="23">ROUND(K451*P449+K451,0)</f>
        <v>24980</v>
      </c>
      <c r="N451" s="100"/>
      <c r="O451" s="45"/>
      <c r="P451" s="39"/>
      <c r="Q451" s="39"/>
      <c r="R451" s="39"/>
      <c r="S451" s="39"/>
      <c r="T451" s="39"/>
      <c r="U451" s="39"/>
      <c r="V451" s="39"/>
      <c r="W451" s="39"/>
      <c r="X451" s="39"/>
      <c r="Y451" s="39"/>
      <c r="Z451" s="39"/>
      <c r="AA451" s="39"/>
      <c r="AB451" s="39"/>
      <c r="AC451" s="39"/>
      <c r="AD451" s="39"/>
      <c r="AE451" s="39"/>
      <c r="AF451" s="39"/>
      <c r="AG451" s="39"/>
      <c r="AH451" s="39"/>
    </row>
    <row r="452" spans="1:34" s="84" customFormat="1" x14ac:dyDescent="0.25">
      <c r="A452" s="39" t="s">
        <v>729</v>
      </c>
      <c r="B452" s="46" t="s">
        <v>245</v>
      </c>
      <c r="C452" s="39" t="s">
        <v>705</v>
      </c>
      <c r="D452" s="102">
        <v>847051774</v>
      </c>
      <c r="E452" s="102">
        <v>2522881600</v>
      </c>
      <c r="F452" s="39" t="s">
        <v>256</v>
      </c>
      <c r="G452" s="81">
        <f>39111+(364+182)</f>
        <v>39657</v>
      </c>
      <c r="H452" s="50" t="str">
        <f t="shared" si="21"/>
        <v>Jul</v>
      </c>
      <c r="I452" s="51">
        <f t="shared" ca="1" si="22"/>
        <v>8</v>
      </c>
      <c r="J452" s="52" t="s">
        <v>276</v>
      </c>
      <c r="K452" s="53">
        <v>80880</v>
      </c>
      <c r="L452" s="54">
        <v>1</v>
      </c>
      <c r="M452" s="59">
        <f t="shared" si="23"/>
        <v>80880</v>
      </c>
      <c r="N452" s="100"/>
      <c r="O452" s="45"/>
      <c r="P452" s="39"/>
      <c r="Q452" s="39"/>
      <c r="R452" s="39"/>
      <c r="S452" s="39"/>
      <c r="T452" s="39"/>
      <c r="U452" s="39"/>
      <c r="V452" s="39"/>
      <c r="W452" s="39"/>
      <c r="X452" s="39"/>
      <c r="Y452" s="39"/>
      <c r="Z452" s="39"/>
      <c r="AA452" s="39"/>
      <c r="AB452" s="39"/>
      <c r="AC452" s="39"/>
      <c r="AD452" s="39"/>
      <c r="AE452" s="39"/>
      <c r="AF452" s="39"/>
      <c r="AG452" s="39"/>
      <c r="AH452" s="39"/>
    </row>
    <row r="453" spans="1:34" s="84" customFormat="1" x14ac:dyDescent="0.25">
      <c r="A453" s="39" t="s">
        <v>1021</v>
      </c>
      <c r="B453" s="46" t="s">
        <v>271</v>
      </c>
      <c r="C453" s="39" t="s">
        <v>930</v>
      </c>
      <c r="D453" s="102">
        <v>964255290</v>
      </c>
      <c r="E453" s="102">
        <v>9197446192</v>
      </c>
      <c r="F453" s="39" t="s">
        <v>256</v>
      </c>
      <c r="G453" s="81">
        <f>39472+(364+182)</f>
        <v>40018</v>
      </c>
      <c r="H453" s="50" t="str">
        <f t="shared" si="21"/>
        <v>Jul</v>
      </c>
      <c r="I453" s="51">
        <f t="shared" ca="1" si="22"/>
        <v>7</v>
      </c>
      <c r="J453" s="52" t="s">
        <v>283</v>
      </c>
      <c r="K453" s="53">
        <v>34990</v>
      </c>
      <c r="L453" s="54">
        <v>3</v>
      </c>
      <c r="M453" s="59">
        <f t="shared" si="23"/>
        <v>34990</v>
      </c>
      <c r="N453" s="100"/>
      <c r="O453" s="45"/>
      <c r="P453" s="39"/>
      <c r="Q453" s="39"/>
      <c r="R453" s="39"/>
      <c r="S453" s="39"/>
      <c r="T453" s="39"/>
      <c r="U453" s="39"/>
      <c r="V453" s="39"/>
      <c r="W453" s="39"/>
      <c r="X453" s="39"/>
      <c r="Y453" s="39"/>
      <c r="Z453" s="39"/>
      <c r="AA453" s="39"/>
      <c r="AB453" s="39"/>
      <c r="AC453" s="39"/>
      <c r="AD453" s="39"/>
      <c r="AE453" s="39"/>
      <c r="AF453" s="39"/>
      <c r="AG453" s="39"/>
      <c r="AH453" s="39"/>
    </row>
    <row r="454" spans="1:34" s="84" customFormat="1" x14ac:dyDescent="0.25">
      <c r="A454" s="39" t="s">
        <v>639</v>
      </c>
      <c r="B454" s="46" t="s">
        <v>271</v>
      </c>
      <c r="C454" s="39" t="s">
        <v>626</v>
      </c>
      <c r="D454" s="102">
        <v>168791562</v>
      </c>
      <c r="E454" s="102">
        <v>9194161772</v>
      </c>
      <c r="F454" s="39" t="s">
        <v>256</v>
      </c>
      <c r="G454" s="81">
        <f>39815+(364+182)</f>
        <v>40361</v>
      </c>
      <c r="H454" s="50" t="str">
        <f t="shared" si="21"/>
        <v>Jul</v>
      </c>
      <c r="I454" s="51">
        <f t="shared" ca="1" si="22"/>
        <v>6</v>
      </c>
      <c r="J454" s="52" t="s">
        <v>267</v>
      </c>
      <c r="K454" s="53">
        <v>75780</v>
      </c>
      <c r="L454" s="54">
        <v>2</v>
      </c>
      <c r="M454" s="59">
        <f t="shared" si="23"/>
        <v>75780</v>
      </c>
      <c r="N454" s="100"/>
      <c r="O454" s="45"/>
      <c r="P454" s="39"/>
      <c r="Q454" s="39"/>
      <c r="R454" s="39"/>
      <c r="S454" s="39"/>
      <c r="T454" s="39"/>
      <c r="U454" s="39"/>
      <c r="V454" s="39"/>
      <c r="W454" s="39"/>
      <c r="X454" s="39"/>
      <c r="Y454" s="39"/>
      <c r="Z454" s="39"/>
      <c r="AA454" s="39"/>
      <c r="AB454" s="39"/>
      <c r="AC454" s="39"/>
      <c r="AD454" s="39"/>
      <c r="AE454" s="39"/>
      <c r="AF454" s="39"/>
      <c r="AG454" s="39"/>
      <c r="AH454" s="39"/>
    </row>
    <row r="455" spans="1:34" s="84" customFormat="1" x14ac:dyDescent="0.25">
      <c r="A455" s="39" t="s">
        <v>710</v>
      </c>
      <c r="B455" s="46" t="s">
        <v>251</v>
      </c>
      <c r="C455" s="39" t="s">
        <v>705</v>
      </c>
      <c r="D455" s="102">
        <v>551132018</v>
      </c>
      <c r="E455" s="102">
        <v>2525796953</v>
      </c>
      <c r="F455" s="39" t="s">
        <v>256</v>
      </c>
      <c r="G455" s="81">
        <f>39824+(364+182)</f>
        <v>40370</v>
      </c>
      <c r="H455" s="50" t="str">
        <f t="shared" si="21"/>
        <v>Jul</v>
      </c>
      <c r="I455" s="51">
        <f t="shared" ca="1" si="22"/>
        <v>6</v>
      </c>
      <c r="J455" s="52" t="s">
        <v>257</v>
      </c>
      <c r="K455" s="53">
        <v>66840</v>
      </c>
      <c r="L455" s="54">
        <v>4</v>
      </c>
      <c r="M455" s="59">
        <f t="shared" si="23"/>
        <v>66840</v>
      </c>
      <c r="N455" s="100"/>
      <c r="O455" s="45"/>
      <c r="P455" s="39"/>
      <c r="Q455" s="39"/>
      <c r="R455" s="39"/>
      <c r="S455" s="39"/>
      <c r="T455" s="39"/>
      <c r="U455" s="39"/>
      <c r="V455" s="39"/>
      <c r="W455" s="39"/>
      <c r="X455" s="39"/>
      <c r="Y455" s="39"/>
      <c r="Z455" s="39"/>
      <c r="AA455" s="39"/>
      <c r="AB455" s="39"/>
      <c r="AC455" s="39"/>
      <c r="AD455" s="39"/>
      <c r="AE455" s="39"/>
      <c r="AF455" s="39"/>
      <c r="AG455" s="39"/>
      <c r="AH455" s="39"/>
    </row>
    <row r="456" spans="1:34" s="84" customFormat="1" x14ac:dyDescent="0.25">
      <c r="A456" s="39" t="s">
        <v>697</v>
      </c>
      <c r="B456" s="46" t="s">
        <v>271</v>
      </c>
      <c r="C456" s="39" t="s">
        <v>678</v>
      </c>
      <c r="D456" s="102">
        <v>397835298</v>
      </c>
      <c r="E456" s="102">
        <v>9196795200</v>
      </c>
      <c r="F456" s="39" t="s">
        <v>247</v>
      </c>
      <c r="G456" s="81">
        <f>39826+(364+182)</f>
        <v>40372</v>
      </c>
      <c r="H456" s="50" t="str">
        <f t="shared" si="21"/>
        <v>Jul</v>
      </c>
      <c r="I456" s="51">
        <f t="shared" ca="1" si="22"/>
        <v>6</v>
      </c>
      <c r="J456" s="52"/>
      <c r="K456" s="53">
        <v>75100</v>
      </c>
      <c r="L456" s="54">
        <v>4</v>
      </c>
      <c r="M456" s="59">
        <f t="shared" si="23"/>
        <v>75100</v>
      </c>
      <c r="N456" s="100"/>
      <c r="O456" s="45"/>
      <c r="P456" s="39"/>
      <c r="Q456" s="39"/>
      <c r="R456" s="39"/>
      <c r="S456" s="39"/>
      <c r="T456" s="39"/>
      <c r="U456" s="39"/>
      <c r="V456" s="39"/>
      <c r="W456" s="39"/>
      <c r="X456" s="39"/>
      <c r="Y456" s="39"/>
      <c r="Z456" s="39"/>
      <c r="AA456" s="39"/>
      <c r="AB456" s="39"/>
      <c r="AC456" s="39"/>
      <c r="AD456" s="39"/>
      <c r="AE456" s="39"/>
      <c r="AF456" s="39"/>
      <c r="AG456" s="39"/>
      <c r="AH456" s="39"/>
    </row>
    <row r="457" spans="1:34" s="84" customFormat="1" x14ac:dyDescent="0.25">
      <c r="A457" s="39" t="s">
        <v>1035</v>
      </c>
      <c r="B457" s="46" t="s">
        <v>251</v>
      </c>
      <c r="C457" s="39" t="s">
        <v>1031</v>
      </c>
      <c r="D457" s="102">
        <v>383616821</v>
      </c>
      <c r="E457" s="102">
        <v>2524989537</v>
      </c>
      <c r="F457" s="39" t="s">
        <v>256</v>
      </c>
      <c r="G457" s="81">
        <f>39838+(364+182)</f>
        <v>40384</v>
      </c>
      <c r="H457" s="50" t="str">
        <f t="shared" si="21"/>
        <v>Jul</v>
      </c>
      <c r="I457" s="51">
        <f t="shared" ca="1" si="22"/>
        <v>6</v>
      </c>
      <c r="J457" s="52" t="s">
        <v>257</v>
      </c>
      <c r="K457" s="53">
        <v>46680</v>
      </c>
      <c r="L457" s="54">
        <v>1</v>
      </c>
      <c r="M457" s="59">
        <f t="shared" si="23"/>
        <v>46680</v>
      </c>
      <c r="N457" s="100"/>
      <c r="O457" s="45"/>
      <c r="P457" s="39"/>
      <c r="Q457" s="39"/>
      <c r="R457" s="39"/>
      <c r="S457" s="39"/>
      <c r="T457" s="39"/>
      <c r="U457" s="39"/>
      <c r="V457" s="39"/>
      <c r="W457" s="39"/>
      <c r="X457" s="39"/>
      <c r="Y457" s="39"/>
      <c r="Z457" s="39"/>
      <c r="AA457" s="39"/>
      <c r="AB457" s="39"/>
      <c r="AC457" s="39"/>
      <c r="AD457" s="39"/>
      <c r="AE457" s="39"/>
      <c r="AF457" s="39"/>
      <c r="AG457" s="39"/>
      <c r="AH457" s="39"/>
    </row>
    <row r="458" spans="1:34" s="84" customFormat="1" x14ac:dyDescent="0.25">
      <c r="A458" s="39" t="s">
        <v>847</v>
      </c>
      <c r="B458" s="46" t="s">
        <v>271</v>
      </c>
      <c r="C458" s="39" t="s">
        <v>767</v>
      </c>
      <c r="D458" s="102">
        <v>456809622</v>
      </c>
      <c r="E458" s="102">
        <v>2523046338</v>
      </c>
      <c r="F458" s="39" t="s">
        <v>256</v>
      </c>
      <c r="G458" s="81">
        <f>32552+(364+182)</f>
        <v>33098</v>
      </c>
      <c r="H458" s="50" t="str">
        <f t="shared" si="21"/>
        <v>Aug</v>
      </c>
      <c r="I458" s="51">
        <f t="shared" ca="1" si="22"/>
        <v>26</v>
      </c>
      <c r="J458" s="52" t="s">
        <v>257</v>
      </c>
      <c r="K458" s="53">
        <v>48080</v>
      </c>
      <c r="L458" s="54">
        <v>2</v>
      </c>
      <c r="M458" s="59">
        <f t="shared" si="23"/>
        <v>48080</v>
      </c>
      <c r="N458" s="100"/>
      <c r="O458" s="45"/>
      <c r="P458" s="39"/>
      <c r="Q458" s="39"/>
      <c r="R458" s="39"/>
      <c r="S458" s="39"/>
      <c r="T458" s="39"/>
      <c r="U458" s="39"/>
      <c r="V458" s="39"/>
      <c r="W458" s="39"/>
      <c r="X458" s="39"/>
      <c r="Y458" s="39"/>
      <c r="Z458" s="39"/>
      <c r="AA458" s="39"/>
      <c r="AB458" s="39"/>
      <c r="AC458" s="39"/>
      <c r="AD458" s="39"/>
      <c r="AE458" s="39"/>
      <c r="AF458" s="39"/>
      <c r="AG458" s="39"/>
      <c r="AH458" s="39"/>
    </row>
    <row r="459" spans="1:34" s="84" customFormat="1" x14ac:dyDescent="0.25">
      <c r="A459" s="39" t="s">
        <v>754</v>
      </c>
      <c r="B459" s="46" t="s">
        <v>285</v>
      </c>
      <c r="C459" s="39" t="s">
        <v>750</v>
      </c>
      <c r="D459" s="102">
        <v>852430023</v>
      </c>
      <c r="E459" s="102">
        <v>9195506190</v>
      </c>
      <c r="F459" s="39" t="s">
        <v>261</v>
      </c>
      <c r="G459" s="81">
        <f>32566+(364+182)</f>
        <v>33112</v>
      </c>
      <c r="H459" s="50" t="str">
        <f t="shared" si="21"/>
        <v>Aug</v>
      </c>
      <c r="I459" s="51">
        <f t="shared" ca="1" si="22"/>
        <v>26</v>
      </c>
      <c r="J459" s="52" t="s">
        <v>267</v>
      </c>
      <c r="K459" s="53">
        <v>24815</v>
      </c>
      <c r="L459" s="54">
        <v>1</v>
      </c>
      <c r="M459" s="59">
        <f t="shared" si="23"/>
        <v>24815</v>
      </c>
      <c r="N459" s="100"/>
      <c r="O459" s="45"/>
      <c r="P459" s="39"/>
      <c r="Q459" s="39"/>
      <c r="R459" s="39"/>
      <c r="S459" s="39"/>
      <c r="T459" s="39"/>
      <c r="U459" s="39"/>
      <c r="V459" s="39"/>
      <c r="W459" s="39"/>
      <c r="X459" s="39"/>
      <c r="Y459" s="39"/>
      <c r="Z459" s="39"/>
      <c r="AA459" s="39"/>
      <c r="AB459" s="39"/>
      <c r="AC459" s="39"/>
      <c r="AD459" s="39"/>
      <c r="AE459" s="39"/>
      <c r="AF459" s="39"/>
      <c r="AG459" s="39"/>
      <c r="AH459" s="39"/>
    </row>
    <row r="460" spans="1:34" s="84" customFormat="1" x14ac:dyDescent="0.25">
      <c r="A460" s="39" t="s">
        <v>762</v>
      </c>
      <c r="B460" s="46" t="s">
        <v>271</v>
      </c>
      <c r="C460" s="39" t="s">
        <v>750</v>
      </c>
      <c r="D460" s="102">
        <v>134557291</v>
      </c>
      <c r="E460" s="102">
        <v>2525536623</v>
      </c>
      <c r="F460" s="39" t="s">
        <v>256</v>
      </c>
      <c r="G460" s="81">
        <f>32567+(364+182)</f>
        <v>33113</v>
      </c>
      <c r="H460" s="50" t="str">
        <f t="shared" si="21"/>
        <v>Aug</v>
      </c>
      <c r="I460" s="51">
        <f t="shared" ca="1" si="22"/>
        <v>26</v>
      </c>
      <c r="J460" s="52" t="s">
        <v>257</v>
      </c>
      <c r="K460" s="53">
        <v>32600</v>
      </c>
      <c r="L460" s="54">
        <v>5</v>
      </c>
      <c r="M460" s="59">
        <f t="shared" si="23"/>
        <v>32600</v>
      </c>
      <c r="N460" s="100"/>
      <c r="O460" s="45"/>
      <c r="P460" s="39"/>
      <c r="Q460" s="39"/>
      <c r="R460" s="39"/>
      <c r="S460" s="39"/>
      <c r="T460" s="39"/>
      <c r="U460" s="39"/>
      <c r="V460" s="39"/>
      <c r="W460" s="39"/>
      <c r="X460" s="39"/>
      <c r="Y460" s="39"/>
      <c r="Z460" s="39"/>
      <c r="AA460" s="39"/>
      <c r="AB460" s="39"/>
      <c r="AC460" s="39"/>
      <c r="AD460" s="39"/>
      <c r="AE460" s="39"/>
      <c r="AF460" s="39"/>
      <c r="AG460" s="39"/>
      <c r="AH460" s="39"/>
    </row>
    <row r="461" spans="1:34" s="84" customFormat="1" x14ac:dyDescent="0.25">
      <c r="A461" s="39" t="s">
        <v>907</v>
      </c>
      <c r="B461" s="46" t="s">
        <v>251</v>
      </c>
      <c r="C461" s="39" t="s">
        <v>856</v>
      </c>
      <c r="D461" s="102">
        <v>593584018</v>
      </c>
      <c r="E461" s="102">
        <v>9194626281</v>
      </c>
      <c r="F461" s="39" t="s">
        <v>256</v>
      </c>
      <c r="G461" s="81">
        <f>32908+(364+182)</f>
        <v>33454</v>
      </c>
      <c r="H461" s="50" t="str">
        <f t="shared" si="21"/>
        <v>Aug</v>
      </c>
      <c r="I461" s="51">
        <f t="shared" ca="1" si="22"/>
        <v>25</v>
      </c>
      <c r="J461" s="52" t="s">
        <v>257</v>
      </c>
      <c r="K461" s="53">
        <v>67920</v>
      </c>
      <c r="L461" s="54">
        <v>4</v>
      </c>
      <c r="M461" s="59">
        <f t="shared" si="23"/>
        <v>67920</v>
      </c>
      <c r="N461" s="100"/>
      <c r="O461" s="45"/>
      <c r="P461" s="39"/>
      <c r="Q461" s="39"/>
      <c r="R461" s="39"/>
      <c r="S461" s="39"/>
      <c r="T461" s="39"/>
      <c r="U461" s="39"/>
      <c r="V461" s="39"/>
      <c r="W461" s="39"/>
      <c r="X461" s="39"/>
      <c r="Y461" s="39"/>
      <c r="Z461" s="39"/>
      <c r="AA461" s="39"/>
      <c r="AB461" s="39"/>
      <c r="AC461" s="39"/>
      <c r="AD461" s="39"/>
      <c r="AE461" s="39"/>
      <c r="AF461" s="39"/>
      <c r="AG461" s="39"/>
      <c r="AH461" s="39"/>
    </row>
    <row r="462" spans="1:34" s="84" customFormat="1" x14ac:dyDescent="0.25">
      <c r="A462" s="39" t="s">
        <v>725</v>
      </c>
      <c r="B462" s="46" t="s">
        <v>285</v>
      </c>
      <c r="C462" s="39" t="s">
        <v>705</v>
      </c>
      <c r="D462" s="102">
        <v>959568761</v>
      </c>
      <c r="E462" s="102">
        <v>9194744493</v>
      </c>
      <c r="F462" s="39" t="s">
        <v>256</v>
      </c>
      <c r="G462" s="81">
        <f>32911+(364+182)</f>
        <v>33457</v>
      </c>
      <c r="H462" s="50" t="str">
        <f t="shared" si="21"/>
        <v>Aug</v>
      </c>
      <c r="I462" s="51">
        <f t="shared" ca="1" si="22"/>
        <v>25</v>
      </c>
      <c r="J462" s="52" t="s">
        <v>267</v>
      </c>
      <c r="K462" s="53">
        <v>61470</v>
      </c>
      <c r="L462" s="54">
        <v>5</v>
      </c>
      <c r="M462" s="59">
        <f t="shared" si="23"/>
        <v>61470</v>
      </c>
      <c r="N462" s="100"/>
      <c r="O462" s="45"/>
      <c r="P462" s="39"/>
      <c r="Q462" s="39"/>
      <c r="R462" s="39"/>
      <c r="S462" s="39"/>
      <c r="T462" s="39"/>
      <c r="U462" s="39"/>
      <c r="V462" s="39"/>
      <c r="W462" s="39"/>
      <c r="X462" s="39"/>
      <c r="Y462" s="39"/>
      <c r="Z462" s="39"/>
      <c r="AA462" s="39"/>
      <c r="AB462" s="39"/>
      <c r="AC462" s="39"/>
      <c r="AD462" s="39"/>
      <c r="AE462" s="39"/>
      <c r="AF462" s="39"/>
      <c r="AG462" s="39"/>
      <c r="AH462" s="39"/>
    </row>
    <row r="463" spans="1:34" s="84" customFormat="1" x14ac:dyDescent="0.25">
      <c r="A463" s="39" t="s">
        <v>764</v>
      </c>
      <c r="B463" s="46" t="s">
        <v>271</v>
      </c>
      <c r="C463" s="39" t="s">
        <v>750</v>
      </c>
      <c r="D463" s="102">
        <v>904790184</v>
      </c>
      <c r="E463" s="102">
        <v>9191876990</v>
      </c>
      <c r="F463" s="39" t="s">
        <v>256</v>
      </c>
      <c r="G463" s="81">
        <f>32914+(364+182)</f>
        <v>33460</v>
      </c>
      <c r="H463" s="50" t="str">
        <f t="shared" si="21"/>
        <v>Aug</v>
      </c>
      <c r="I463" s="51">
        <f t="shared" ca="1" si="22"/>
        <v>25</v>
      </c>
      <c r="J463" s="52" t="s">
        <v>283</v>
      </c>
      <c r="K463" s="53">
        <v>77720</v>
      </c>
      <c r="L463" s="54">
        <v>3</v>
      </c>
      <c r="M463" s="59">
        <f t="shared" si="23"/>
        <v>77720</v>
      </c>
      <c r="N463" s="100"/>
      <c r="O463" s="45"/>
      <c r="P463" s="39"/>
      <c r="Q463" s="39"/>
      <c r="R463" s="39"/>
      <c r="S463" s="39"/>
      <c r="T463" s="39"/>
      <c r="U463" s="39"/>
      <c r="V463" s="39"/>
      <c r="W463" s="39"/>
      <c r="X463" s="39"/>
      <c r="Y463" s="39"/>
      <c r="Z463" s="39"/>
      <c r="AA463" s="39"/>
      <c r="AB463" s="39"/>
      <c r="AC463" s="39"/>
      <c r="AD463" s="39"/>
      <c r="AE463" s="39"/>
      <c r="AF463" s="39"/>
      <c r="AG463" s="39"/>
      <c r="AH463" s="39"/>
    </row>
    <row r="464" spans="1:34" s="84" customFormat="1" x14ac:dyDescent="0.25">
      <c r="A464" s="39" t="s">
        <v>852</v>
      </c>
      <c r="B464" s="46" t="s">
        <v>271</v>
      </c>
      <c r="C464" s="39" t="s">
        <v>767</v>
      </c>
      <c r="D464" s="102">
        <v>503036433</v>
      </c>
      <c r="E464" s="102">
        <v>9192453666</v>
      </c>
      <c r="F464" s="39" t="s">
        <v>256</v>
      </c>
      <c r="G464" s="81">
        <f>32914+(364+182)</f>
        <v>33460</v>
      </c>
      <c r="H464" s="50" t="str">
        <f t="shared" si="21"/>
        <v>Aug</v>
      </c>
      <c r="I464" s="51">
        <f t="shared" ca="1" si="22"/>
        <v>25</v>
      </c>
      <c r="J464" s="52" t="s">
        <v>267</v>
      </c>
      <c r="K464" s="53">
        <v>77740</v>
      </c>
      <c r="L464" s="54">
        <v>1</v>
      </c>
      <c r="M464" s="59">
        <f t="shared" si="23"/>
        <v>77740</v>
      </c>
      <c r="N464" s="100"/>
      <c r="O464" s="45"/>
      <c r="P464" s="39"/>
      <c r="Q464" s="39"/>
      <c r="R464" s="39"/>
      <c r="S464" s="39"/>
      <c r="T464" s="39"/>
      <c r="U464" s="39"/>
      <c r="V464" s="39"/>
      <c r="W464" s="39"/>
      <c r="X464" s="39"/>
      <c r="Y464" s="39"/>
      <c r="Z464" s="39"/>
      <c r="AA464" s="39"/>
      <c r="AB464" s="39"/>
      <c r="AC464" s="39"/>
      <c r="AD464" s="39"/>
      <c r="AE464" s="39"/>
      <c r="AF464" s="39"/>
      <c r="AG464" s="39"/>
      <c r="AH464" s="39"/>
    </row>
    <row r="465" spans="1:34" s="84" customFormat="1" x14ac:dyDescent="0.25">
      <c r="A465" s="39" t="s">
        <v>325</v>
      </c>
      <c r="B465" s="46" t="s">
        <v>285</v>
      </c>
      <c r="C465" s="39" t="s">
        <v>312</v>
      </c>
      <c r="D465" s="102">
        <v>768215237</v>
      </c>
      <c r="E465" s="102">
        <v>9195993367</v>
      </c>
      <c r="F465" s="39" t="s">
        <v>261</v>
      </c>
      <c r="G465" s="81">
        <f>32926+(364+182)</f>
        <v>33472</v>
      </c>
      <c r="H465" s="50" t="str">
        <f t="shared" si="21"/>
        <v>Aug</v>
      </c>
      <c r="I465" s="51">
        <f t="shared" ca="1" si="22"/>
        <v>25</v>
      </c>
      <c r="J465" s="52" t="s">
        <v>262</v>
      </c>
      <c r="K465" s="53">
        <v>13800</v>
      </c>
      <c r="L465" s="54">
        <v>3</v>
      </c>
      <c r="M465" s="59">
        <f t="shared" si="23"/>
        <v>13800</v>
      </c>
      <c r="N465" s="100"/>
      <c r="O465" s="45"/>
      <c r="P465" s="39"/>
      <c r="Q465" s="39"/>
      <c r="R465" s="39"/>
      <c r="S465" s="39"/>
      <c r="T465" s="39"/>
      <c r="U465" s="39"/>
      <c r="V465" s="39"/>
      <c r="W465" s="39"/>
      <c r="X465" s="39"/>
      <c r="Y465" s="39"/>
      <c r="Z465" s="39"/>
      <c r="AA465" s="39"/>
      <c r="AB465" s="39"/>
      <c r="AC465" s="39"/>
      <c r="AD465" s="39"/>
      <c r="AE465" s="39"/>
      <c r="AF465" s="39"/>
      <c r="AG465" s="39"/>
      <c r="AH465" s="39"/>
    </row>
    <row r="466" spans="1:34" x14ac:dyDescent="0.25">
      <c r="A466" s="45" t="s">
        <v>1060</v>
      </c>
      <c r="B466" s="46" t="s">
        <v>271</v>
      </c>
      <c r="C466" s="45" t="s">
        <v>272</v>
      </c>
      <c r="D466" s="106">
        <v>535539723</v>
      </c>
      <c r="E466" s="106">
        <v>2523492633</v>
      </c>
      <c r="F466" s="45" t="s">
        <v>261</v>
      </c>
      <c r="G466" s="105">
        <f>32928+(364+182)</f>
        <v>33474</v>
      </c>
      <c r="H466" s="50" t="str">
        <f t="shared" si="21"/>
        <v>Aug</v>
      </c>
      <c r="I466" s="51">
        <f t="shared" ca="1" si="22"/>
        <v>25</v>
      </c>
      <c r="J466" s="52" t="s">
        <v>262</v>
      </c>
      <c r="K466" s="53">
        <v>30445</v>
      </c>
      <c r="L466" s="54">
        <v>1</v>
      </c>
      <c r="M466" s="59">
        <f t="shared" si="23"/>
        <v>30445</v>
      </c>
      <c r="O466" s="104"/>
    </row>
    <row r="467" spans="1:34" x14ac:dyDescent="0.25">
      <c r="A467" s="39" t="s">
        <v>561</v>
      </c>
      <c r="B467" s="46" t="s">
        <v>271</v>
      </c>
      <c r="C467" s="39" t="s">
        <v>465</v>
      </c>
      <c r="D467" s="102">
        <v>910964196</v>
      </c>
      <c r="E467" s="102">
        <v>9194361873</v>
      </c>
      <c r="F467" s="39" t="s">
        <v>247</v>
      </c>
      <c r="G467" s="81">
        <f>33273+(364+182)</f>
        <v>33819</v>
      </c>
      <c r="H467" s="50" t="str">
        <f t="shared" si="21"/>
        <v>Aug</v>
      </c>
      <c r="I467" s="51">
        <f t="shared" ca="1" si="22"/>
        <v>24</v>
      </c>
      <c r="J467" s="52"/>
      <c r="K467" s="53">
        <v>49530</v>
      </c>
      <c r="L467" s="54">
        <v>2</v>
      </c>
      <c r="M467" s="59">
        <f t="shared" si="23"/>
        <v>49530</v>
      </c>
    </row>
    <row r="468" spans="1:34" x14ac:dyDescent="0.25">
      <c r="A468" s="39" t="s">
        <v>1013</v>
      </c>
      <c r="B468" s="46" t="s">
        <v>245</v>
      </c>
      <c r="C468" s="39" t="s">
        <v>930</v>
      </c>
      <c r="D468" s="102">
        <v>610340294</v>
      </c>
      <c r="E468" s="102">
        <v>9198443818</v>
      </c>
      <c r="F468" s="39" t="s">
        <v>247</v>
      </c>
      <c r="G468" s="81">
        <f>33274+(364+182)</f>
        <v>33820</v>
      </c>
      <c r="H468" s="50" t="str">
        <f t="shared" si="21"/>
        <v>Aug</v>
      </c>
      <c r="I468" s="51">
        <f t="shared" ca="1" si="22"/>
        <v>24</v>
      </c>
      <c r="J468" s="52"/>
      <c r="K468" s="53">
        <v>70300</v>
      </c>
      <c r="L468" s="54">
        <v>3</v>
      </c>
      <c r="M468" s="59">
        <f t="shared" si="23"/>
        <v>70300</v>
      </c>
    </row>
    <row r="469" spans="1:34" x14ac:dyDescent="0.25">
      <c r="A469" s="39" t="s">
        <v>398</v>
      </c>
      <c r="B469" s="46" t="s">
        <v>285</v>
      </c>
      <c r="C469" s="39" t="s">
        <v>391</v>
      </c>
      <c r="D469" s="102">
        <v>685953695</v>
      </c>
      <c r="E469" s="102">
        <v>9196756847</v>
      </c>
      <c r="F469" s="39" t="s">
        <v>256</v>
      </c>
      <c r="G469" s="81">
        <f>33277+(364+182)</f>
        <v>33823</v>
      </c>
      <c r="H469" s="50" t="str">
        <f t="shared" si="21"/>
        <v>Aug</v>
      </c>
      <c r="I469" s="51">
        <f t="shared" ca="1" si="22"/>
        <v>24</v>
      </c>
      <c r="J469" s="52" t="s">
        <v>283</v>
      </c>
      <c r="K469" s="53">
        <v>82760</v>
      </c>
      <c r="L469" s="54">
        <v>4</v>
      </c>
      <c r="M469" s="59">
        <f t="shared" si="23"/>
        <v>82760</v>
      </c>
    </row>
    <row r="470" spans="1:34" x14ac:dyDescent="0.25">
      <c r="A470" s="39" t="s">
        <v>293</v>
      </c>
      <c r="B470" s="46" t="s">
        <v>285</v>
      </c>
      <c r="C470" s="39" t="s">
        <v>272</v>
      </c>
      <c r="D470" s="102">
        <v>608796012</v>
      </c>
      <c r="E470" s="102">
        <v>9194075460</v>
      </c>
      <c r="F470" s="39" t="s">
        <v>256</v>
      </c>
      <c r="G470" s="81">
        <f>33285+(364+182)</f>
        <v>33831</v>
      </c>
      <c r="H470" s="50" t="str">
        <f t="shared" si="21"/>
        <v>Aug</v>
      </c>
      <c r="I470" s="51">
        <f t="shared" ca="1" si="22"/>
        <v>24</v>
      </c>
      <c r="J470" s="52" t="s">
        <v>257</v>
      </c>
      <c r="K470" s="53">
        <v>79760</v>
      </c>
      <c r="L470" s="54">
        <v>5</v>
      </c>
      <c r="M470" s="59">
        <f t="shared" si="23"/>
        <v>79760</v>
      </c>
    </row>
    <row r="471" spans="1:34" x14ac:dyDescent="0.25">
      <c r="A471" s="39" t="s">
        <v>619</v>
      </c>
      <c r="B471" s="46" t="s">
        <v>280</v>
      </c>
      <c r="C471" s="39" t="s">
        <v>618</v>
      </c>
      <c r="D471" s="102">
        <v>742946482</v>
      </c>
      <c r="E471" s="102">
        <v>9197077326</v>
      </c>
      <c r="F471" s="39" t="s">
        <v>256</v>
      </c>
      <c r="G471" s="81">
        <f>33286+(364+182)</f>
        <v>33832</v>
      </c>
      <c r="H471" s="50" t="str">
        <f t="shared" si="21"/>
        <v>Aug</v>
      </c>
      <c r="I471" s="51">
        <f t="shared" ca="1" si="22"/>
        <v>24</v>
      </c>
      <c r="J471" s="52" t="s">
        <v>257</v>
      </c>
      <c r="K471" s="53">
        <v>39160</v>
      </c>
      <c r="L471" s="54">
        <v>3</v>
      </c>
      <c r="M471" s="59">
        <f t="shared" si="23"/>
        <v>39160</v>
      </c>
    </row>
    <row r="472" spans="1:34" x14ac:dyDescent="0.25">
      <c r="A472" s="45" t="s">
        <v>250</v>
      </c>
      <c r="B472" s="46" t="s">
        <v>251</v>
      </c>
      <c r="C472" s="45" t="s">
        <v>246</v>
      </c>
      <c r="D472" s="106">
        <v>411526157</v>
      </c>
      <c r="E472" s="106">
        <v>9195818082</v>
      </c>
      <c r="F472" s="45" t="s">
        <v>252</v>
      </c>
      <c r="G472" s="105">
        <f>33300+(364+182)</f>
        <v>33846</v>
      </c>
      <c r="H472" s="50" t="str">
        <f t="shared" si="21"/>
        <v>Aug</v>
      </c>
      <c r="I472" s="51">
        <f t="shared" ca="1" si="22"/>
        <v>24</v>
      </c>
      <c r="J472" s="52"/>
      <c r="K472" s="53">
        <v>35680</v>
      </c>
      <c r="L472" s="54">
        <v>2</v>
      </c>
      <c r="M472" s="59">
        <f t="shared" si="23"/>
        <v>35680</v>
      </c>
      <c r="O472" s="104"/>
    </row>
    <row r="473" spans="1:34" x14ac:dyDescent="0.25">
      <c r="A473" s="39" t="s">
        <v>357</v>
      </c>
      <c r="B473" s="46" t="s">
        <v>285</v>
      </c>
      <c r="C473" s="39" t="s">
        <v>312</v>
      </c>
      <c r="D473" s="102">
        <v>870106287</v>
      </c>
      <c r="E473" s="102">
        <v>2528611970</v>
      </c>
      <c r="F473" s="39" t="s">
        <v>261</v>
      </c>
      <c r="G473" s="81">
        <f>34002+(364+182)</f>
        <v>34548</v>
      </c>
      <c r="H473" s="50" t="str">
        <f t="shared" si="21"/>
        <v>Aug</v>
      </c>
      <c r="I473" s="51">
        <f t="shared" ca="1" si="22"/>
        <v>22</v>
      </c>
      <c r="J473" s="52" t="s">
        <v>276</v>
      </c>
      <c r="K473" s="53">
        <v>38920</v>
      </c>
      <c r="L473" s="54">
        <v>4</v>
      </c>
      <c r="M473" s="59">
        <f t="shared" si="23"/>
        <v>38920</v>
      </c>
    </row>
    <row r="474" spans="1:34" x14ac:dyDescent="0.25">
      <c r="A474" s="39" t="s">
        <v>452</v>
      </c>
      <c r="B474" s="46" t="s">
        <v>285</v>
      </c>
      <c r="C474" s="39" t="s">
        <v>417</v>
      </c>
      <c r="D474" s="102">
        <v>661397587</v>
      </c>
      <c r="E474" s="102">
        <v>9196126835</v>
      </c>
      <c r="F474" s="39" t="s">
        <v>247</v>
      </c>
      <c r="G474" s="81">
        <f>34366+(364+182)</f>
        <v>34912</v>
      </c>
      <c r="H474" s="50" t="str">
        <f t="shared" si="21"/>
        <v>Aug</v>
      </c>
      <c r="I474" s="51">
        <f t="shared" ca="1" si="22"/>
        <v>21</v>
      </c>
      <c r="J474" s="52"/>
      <c r="K474" s="53">
        <v>40560</v>
      </c>
      <c r="L474" s="54">
        <v>5</v>
      </c>
      <c r="M474" s="59">
        <f t="shared" si="23"/>
        <v>40560</v>
      </c>
    </row>
    <row r="475" spans="1:34" x14ac:dyDescent="0.25">
      <c r="A475" s="39" t="s">
        <v>802</v>
      </c>
      <c r="B475" s="46" t="s">
        <v>280</v>
      </c>
      <c r="C475" s="39" t="s">
        <v>767</v>
      </c>
      <c r="D475" s="102">
        <v>445693854</v>
      </c>
      <c r="E475" s="102">
        <v>9192891217</v>
      </c>
      <c r="F475" s="39" t="s">
        <v>247</v>
      </c>
      <c r="G475" s="81">
        <f>34369+(364+182)</f>
        <v>34915</v>
      </c>
      <c r="H475" s="50" t="str">
        <f t="shared" si="21"/>
        <v>Aug</v>
      </c>
      <c r="I475" s="51">
        <f t="shared" ca="1" si="22"/>
        <v>21</v>
      </c>
      <c r="J475" s="52"/>
      <c r="K475" s="53">
        <v>76870</v>
      </c>
      <c r="L475" s="54">
        <v>5</v>
      </c>
      <c r="M475" s="59">
        <f t="shared" si="23"/>
        <v>76870</v>
      </c>
    </row>
    <row r="476" spans="1:34" x14ac:dyDescent="0.25">
      <c r="A476" s="39" t="s">
        <v>992</v>
      </c>
      <c r="B476" s="46" t="s">
        <v>280</v>
      </c>
      <c r="C476" s="39" t="s">
        <v>930</v>
      </c>
      <c r="D476" s="102">
        <v>749768847</v>
      </c>
      <c r="E476" s="102">
        <v>2528552110</v>
      </c>
      <c r="F476" s="39" t="s">
        <v>247</v>
      </c>
      <c r="G476" s="81">
        <f>34734+(364+182)</f>
        <v>35280</v>
      </c>
      <c r="H476" s="50" t="str">
        <f t="shared" si="21"/>
        <v>Aug</v>
      </c>
      <c r="I476" s="51">
        <f t="shared" ca="1" si="22"/>
        <v>20</v>
      </c>
      <c r="J476" s="52"/>
      <c r="K476" s="53">
        <v>41770</v>
      </c>
      <c r="L476" s="54">
        <v>5</v>
      </c>
      <c r="M476" s="59">
        <f t="shared" si="23"/>
        <v>41770</v>
      </c>
    </row>
    <row r="477" spans="1:34" x14ac:dyDescent="0.25">
      <c r="A477" s="39" t="s">
        <v>628</v>
      </c>
      <c r="B477" s="46" t="s">
        <v>251</v>
      </c>
      <c r="C477" s="39" t="s">
        <v>626</v>
      </c>
      <c r="D477" s="102">
        <v>634954970</v>
      </c>
      <c r="E477" s="102">
        <v>9194900864</v>
      </c>
      <c r="F477" s="39" t="s">
        <v>256</v>
      </c>
      <c r="G477" s="81">
        <f>34736+(364+182)</f>
        <v>35282</v>
      </c>
      <c r="H477" s="50" t="str">
        <f t="shared" si="21"/>
        <v>Aug</v>
      </c>
      <c r="I477" s="51">
        <f t="shared" ca="1" si="22"/>
        <v>20</v>
      </c>
      <c r="J477" s="52" t="s">
        <v>257</v>
      </c>
      <c r="K477" s="53">
        <v>57560</v>
      </c>
      <c r="L477" s="54">
        <v>4</v>
      </c>
      <c r="M477" s="59">
        <f t="shared" si="23"/>
        <v>57560</v>
      </c>
    </row>
    <row r="478" spans="1:34" x14ac:dyDescent="0.25">
      <c r="A478" s="39" t="s">
        <v>829</v>
      </c>
      <c r="B478" s="46" t="s">
        <v>245</v>
      </c>
      <c r="C478" s="39" t="s">
        <v>767</v>
      </c>
      <c r="D478" s="102">
        <v>174159111</v>
      </c>
      <c r="E478" s="102">
        <v>9191675237</v>
      </c>
      <c r="F478" s="39" t="s">
        <v>256</v>
      </c>
      <c r="G478" s="81">
        <f>34740+(364+182)</f>
        <v>35286</v>
      </c>
      <c r="H478" s="50" t="str">
        <f t="shared" si="21"/>
        <v>Aug</v>
      </c>
      <c r="I478" s="51">
        <f t="shared" ca="1" si="22"/>
        <v>20</v>
      </c>
      <c r="J478" s="52" t="s">
        <v>262</v>
      </c>
      <c r="K478" s="53">
        <v>72700</v>
      </c>
      <c r="L478" s="54">
        <v>5</v>
      </c>
      <c r="M478" s="59">
        <f t="shared" si="23"/>
        <v>72700</v>
      </c>
    </row>
    <row r="479" spans="1:34" x14ac:dyDescent="0.25">
      <c r="A479" s="39" t="s">
        <v>932</v>
      </c>
      <c r="B479" s="46" t="s">
        <v>266</v>
      </c>
      <c r="C479" s="39" t="s">
        <v>930</v>
      </c>
      <c r="D479" s="102">
        <v>758001890</v>
      </c>
      <c r="E479" s="102">
        <v>2521202348</v>
      </c>
      <c r="F479" s="39" t="s">
        <v>261</v>
      </c>
      <c r="G479" s="81">
        <f>34751+(364+182)</f>
        <v>35297</v>
      </c>
      <c r="H479" s="50" t="str">
        <f t="shared" si="21"/>
        <v>Aug</v>
      </c>
      <c r="I479" s="51">
        <f t="shared" ca="1" si="22"/>
        <v>20</v>
      </c>
      <c r="J479" s="52" t="s">
        <v>283</v>
      </c>
      <c r="K479" s="53">
        <v>38105</v>
      </c>
      <c r="L479" s="54">
        <v>2</v>
      </c>
      <c r="M479" s="59">
        <f t="shared" si="23"/>
        <v>38105</v>
      </c>
    </row>
    <row r="480" spans="1:34" x14ac:dyDescent="0.25">
      <c r="A480" s="39" t="s">
        <v>824</v>
      </c>
      <c r="B480" s="46" t="s">
        <v>285</v>
      </c>
      <c r="C480" s="39" t="s">
        <v>767</v>
      </c>
      <c r="D480" s="102">
        <v>556327593</v>
      </c>
      <c r="E480" s="102">
        <v>2523324762</v>
      </c>
      <c r="F480" s="39" t="s">
        <v>247</v>
      </c>
      <c r="G480" s="81">
        <f>34755+(364+182)</f>
        <v>35301</v>
      </c>
      <c r="H480" s="50" t="str">
        <f t="shared" si="21"/>
        <v>Aug</v>
      </c>
      <c r="I480" s="51">
        <f t="shared" ca="1" si="22"/>
        <v>20</v>
      </c>
      <c r="J480" s="52"/>
      <c r="K480" s="53">
        <v>60070</v>
      </c>
      <c r="L480" s="54">
        <v>2</v>
      </c>
      <c r="M480" s="59">
        <f t="shared" si="23"/>
        <v>60070</v>
      </c>
    </row>
    <row r="481" spans="1:17" x14ac:dyDescent="0.25">
      <c r="A481" s="39" t="s">
        <v>1022</v>
      </c>
      <c r="B481" s="46" t="s">
        <v>251</v>
      </c>
      <c r="C481" s="39" t="s">
        <v>930</v>
      </c>
      <c r="D481" s="102">
        <v>799754905</v>
      </c>
      <c r="E481" s="102">
        <v>2526757210</v>
      </c>
      <c r="F481" s="39" t="s">
        <v>256</v>
      </c>
      <c r="G481" s="81">
        <f>34761+(364+182)</f>
        <v>35307</v>
      </c>
      <c r="H481" s="50" t="str">
        <f t="shared" si="21"/>
        <v>Aug</v>
      </c>
      <c r="I481" s="51">
        <f t="shared" ca="1" si="22"/>
        <v>20</v>
      </c>
      <c r="J481" s="52" t="s">
        <v>257</v>
      </c>
      <c r="K481" s="53">
        <v>31690</v>
      </c>
      <c r="L481" s="54">
        <v>4</v>
      </c>
      <c r="M481" s="59">
        <f t="shared" si="23"/>
        <v>31690</v>
      </c>
    </row>
    <row r="482" spans="1:17" x14ac:dyDescent="0.25">
      <c r="A482" s="39" t="s">
        <v>369</v>
      </c>
      <c r="B482" s="46" t="s">
        <v>245</v>
      </c>
      <c r="C482" s="39" t="s">
        <v>312</v>
      </c>
      <c r="D482" s="102">
        <v>415228597</v>
      </c>
      <c r="E482" s="102">
        <v>9196252690</v>
      </c>
      <c r="F482" s="39" t="s">
        <v>256</v>
      </c>
      <c r="G482" s="81">
        <f>35121+(364+182)</f>
        <v>35667</v>
      </c>
      <c r="H482" s="50" t="str">
        <f t="shared" si="21"/>
        <v>Aug</v>
      </c>
      <c r="I482" s="51">
        <f t="shared" ca="1" si="22"/>
        <v>19</v>
      </c>
      <c r="J482" s="52" t="s">
        <v>257</v>
      </c>
      <c r="K482" s="53">
        <v>40920</v>
      </c>
      <c r="L482" s="54">
        <v>4</v>
      </c>
      <c r="M482" s="59">
        <f t="shared" si="23"/>
        <v>40920</v>
      </c>
    </row>
    <row r="483" spans="1:17" x14ac:dyDescent="0.25">
      <c r="A483" s="39" t="s">
        <v>404</v>
      </c>
      <c r="B483" s="46" t="s">
        <v>285</v>
      </c>
      <c r="C483" s="39" t="s">
        <v>391</v>
      </c>
      <c r="D483" s="102">
        <v>195245117</v>
      </c>
      <c r="E483" s="102">
        <v>9193451072</v>
      </c>
      <c r="F483" s="39" t="s">
        <v>252</v>
      </c>
      <c r="G483" s="81">
        <f>35127+(364+182)</f>
        <v>35673</v>
      </c>
      <c r="H483" s="50" t="str">
        <f t="shared" si="21"/>
        <v>Aug</v>
      </c>
      <c r="I483" s="51">
        <f t="shared" ca="1" si="22"/>
        <v>19</v>
      </c>
      <c r="J483" s="52"/>
      <c r="K483" s="53">
        <v>12676</v>
      </c>
      <c r="L483" s="54">
        <v>2</v>
      </c>
      <c r="M483" s="59">
        <f t="shared" si="23"/>
        <v>12676</v>
      </c>
    </row>
    <row r="484" spans="1:17" x14ac:dyDescent="0.25">
      <c r="A484" s="39" t="s">
        <v>601</v>
      </c>
      <c r="B484" s="46" t="s">
        <v>271</v>
      </c>
      <c r="C484" s="39" t="s">
        <v>465</v>
      </c>
      <c r="D484" s="102">
        <v>470719383</v>
      </c>
      <c r="E484" s="102">
        <v>9197848542</v>
      </c>
      <c r="F484" s="39" t="s">
        <v>256</v>
      </c>
      <c r="G484" s="81">
        <f>35463+(364+182)</f>
        <v>36009</v>
      </c>
      <c r="H484" s="50" t="str">
        <f t="shared" si="21"/>
        <v>Aug</v>
      </c>
      <c r="I484" s="51">
        <f t="shared" ca="1" si="22"/>
        <v>18</v>
      </c>
      <c r="J484" s="52" t="s">
        <v>257</v>
      </c>
      <c r="K484" s="53">
        <v>75120</v>
      </c>
      <c r="L484" s="54">
        <v>5</v>
      </c>
      <c r="M484" s="59">
        <f t="shared" si="23"/>
        <v>75120</v>
      </c>
    </row>
    <row r="485" spans="1:17" x14ac:dyDescent="0.25">
      <c r="A485" s="39" t="s">
        <v>567</v>
      </c>
      <c r="B485" s="46" t="s">
        <v>280</v>
      </c>
      <c r="C485" s="39" t="s">
        <v>465</v>
      </c>
      <c r="D485" s="102">
        <v>596008829</v>
      </c>
      <c r="E485" s="102">
        <v>9198721709</v>
      </c>
      <c r="F485" s="39" t="s">
        <v>247</v>
      </c>
      <c r="G485" s="81">
        <f>35465+(364+182)</f>
        <v>36011</v>
      </c>
      <c r="H485" s="50" t="str">
        <f t="shared" si="21"/>
        <v>Aug</v>
      </c>
      <c r="I485" s="51">
        <f t="shared" ca="1" si="22"/>
        <v>18</v>
      </c>
      <c r="J485" s="52"/>
      <c r="K485" s="53">
        <v>45050</v>
      </c>
      <c r="L485" s="54">
        <v>1</v>
      </c>
      <c r="M485" s="59">
        <f t="shared" si="23"/>
        <v>45050</v>
      </c>
    </row>
    <row r="486" spans="1:17" x14ac:dyDescent="0.25">
      <c r="A486" s="39" t="s">
        <v>902</v>
      </c>
      <c r="B486" s="46" t="s">
        <v>271</v>
      </c>
      <c r="C486" s="39" t="s">
        <v>856</v>
      </c>
      <c r="D486" s="102">
        <v>644489557</v>
      </c>
      <c r="E486" s="102">
        <v>2526532463</v>
      </c>
      <c r="F486" s="39" t="s">
        <v>256</v>
      </c>
      <c r="G486" s="81">
        <f>35466+(364+182)</f>
        <v>36012</v>
      </c>
      <c r="H486" s="50" t="str">
        <f t="shared" si="21"/>
        <v>Aug</v>
      </c>
      <c r="I486" s="51">
        <f t="shared" ca="1" si="22"/>
        <v>18</v>
      </c>
      <c r="J486" s="52" t="s">
        <v>262</v>
      </c>
      <c r="K486" s="53">
        <v>78950</v>
      </c>
      <c r="L486" s="54">
        <v>1</v>
      </c>
      <c r="M486" s="59">
        <f t="shared" si="23"/>
        <v>78950</v>
      </c>
    </row>
    <row r="487" spans="1:17" x14ac:dyDescent="0.25">
      <c r="A487" s="39" t="s">
        <v>943</v>
      </c>
      <c r="B487" s="46" t="s">
        <v>285</v>
      </c>
      <c r="C487" s="39" t="s">
        <v>930</v>
      </c>
      <c r="D487" s="102">
        <v>249416723</v>
      </c>
      <c r="E487" s="102">
        <v>2521628807</v>
      </c>
      <c r="F487" s="39" t="s">
        <v>256</v>
      </c>
      <c r="G487" s="81">
        <f>35479+(364+182)</f>
        <v>36025</v>
      </c>
      <c r="H487" s="50" t="str">
        <f t="shared" si="21"/>
        <v>Aug</v>
      </c>
      <c r="I487" s="51">
        <f t="shared" ca="1" si="22"/>
        <v>18</v>
      </c>
      <c r="J487" s="52" t="s">
        <v>262</v>
      </c>
      <c r="K487" s="53">
        <v>64470</v>
      </c>
      <c r="L487" s="54">
        <v>5</v>
      </c>
      <c r="M487" s="59">
        <f t="shared" si="23"/>
        <v>64470</v>
      </c>
    </row>
    <row r="488" spans="1:17" x14ac:dyDescent="0.25">
      <c r="A488" s="39" t="s">
        <v>768</v>
      </c>
      <c r="B488" s="46" t="s">
        <v>285</v>
      </c>
      <c r="C488" s="39" t="s">
        <v>767</v>
      </c>
      <c r="D488" s="102">
        <v>699386024</v>
      </c>
      <c r="E488" s="102">
        <v>2525842116</v>
      </c>
      <c r="F488" s="39" t="s">
        <v>252</v>
      </c>
      <c r="G488" s="81">
        <f>35482+(364+182)</f>
        <v>36028</v>
      </c>
      <c r="H488" s="50" t="str">
        <f t="shared" si="21"/>
        <v>Aug</v>
      </c>
      <c r="I488" s="51">
        <f t="shared" ca="1" si="22"/>
        <v>18</v>
      </c>
      <c r="J488" s="52"/>
      <c r="K488" s="53">
        <v>16688</v>
      </c>
      <c r="L488" s="54">
        <v>3</v>
      </c>
      <c r="M488" s="59">
        <f t="shared" si="23"/>
        <v>16688</v>
      </c>
    </row>
    <row r="489" spans="1:17" x14ac:dyDescent="0.25">
      <c r="A489" s="39" t="s">
        <v>317</v>
      </c>
      <c r="B489" s="46" t="s">
        <v>280</v>
      </c>
      <c r="C489" s="39" t="s">
        <v>312</v>
      </c>
      <c r="D489" s="102">
        <v>163292583</v>
      </c>
      <c r="E489" s="102">
        <v>2522005810</v>
      </c>
      <c r="F489" s="39" t="s">
        <v>247</v>
      </c>
      <c r="G489" s="81">
        <f>35492+(364+182)</f>
        <v>36038</v>
      </c>
      <c r="H489" s="50" t="str">
        <f t="shared" si="21"/>
        <v>Aug</v>
      </c>
      <c r="I489" s="51">
        <f t="shared" ca="1" si="22"/>
        <v>18</v>
      </c>
      <c r="J489" s="52"/>
      <c r="K489" s="53">
        <v>30340</v>
      </c>
      <c r="L489" s="54">
        <v>3</v>
      </c>
      <c r="M489" s="59">
        <f t="shared" si="23"/>
        <v>30340</v>
      </c>
    </row>
    <row r="490" spans="1:17" x14ac:dyDescent="0.25">
      <c r="A490" s="39" t="s">
        <v>766</v>
      </c>
      <c r="B490" s="46" t="s">
        <v>266</v>
      </c>
      <c r="C490" s="39" t="s">
        <v>767</v>
      </c>
      <c r="D490" s="102">
        <v>239847790</v>
      </c>
      <c r="E490" s="102">
        <v>2524045531</v>
      </c>
      <c r="F490" s="39" t="s">
        <v>247</v>
      </c>
      <c r="G490" s="81">
        <f>35829+(364+182)</f>
        <v>36375</v>
      </c>
      <c r="H490" s="50" t="str">
        <f t="shared" si="21"/>
        <v>Aug</v>
      </c>
      <c r="I490" s="51">
        <f t="shared" ca="1" si="22"/>
        <v>17</v>
      </c>
      <c r="J490" s="52"/>
      <c r="K490" s="53">
        <v>71300</v>
      </c>
      <c r="L490" s="54">
        <v>5</v>
      </c>
      <c r="M490" s="59">
        <f t="shared" si="23"/>
        <v>71300</v>
      </c>
      <c r="P490" s="75"/>
      <c r="Q490" s="75"/>
    </row>
    <row r="491" spans="1:17" x14ac:dyDescent="0.25">
      <c r="A491" s="39" t="s">
        <v>812</v>
      </c>
      <c r="B491" s="46" t="s">
        <v>271</v>
      </c>
      <c r="C491" s="39" t="s">
        <v>767</v>
      </c>
      <c r="D491" s="102">
        <v>358017400</v>
      </c>
      <c r="E491" s="102">
        <v>2523265407</v>
      </c>
      <c r="F491" s="39" t="s">
        <v>252</v>
      </c>
      <c r="G491" s="81">
        <f>35834+(364+182)</f>
        <v>36380</v>
      </c>
      <c r="H491" s="50" t="str">
        <f t="shared" si="21"/>
        <v>Aug</v>
      </c>
      <c r="I491" s="51">
        <f t="shared" ca="1" si="22"/>
        <v>17</v>
      </c>
      <c r="J491" s="52"/>
      <c r="K491" s="53">
        <v>36052</v>
      </c>
      <c r="L491" s="54">
        <v>5</v>
      </c>
      <c r="M491" s="59">
        <f t="shared" si="23"/>
        <v>36052</v>
      </c>
    </row>
    <row r="492" spans="1:17" x14ac:dyDescent="0.25">
      <c r="A492" s="39" t="s">
        <v>650</v>
      </c>
      <c r="B492" s="46" t="s">
        <v>251</v>
      </c>
      <c r="C492" s="39" t="s">
        <v>626</v>
      </c>
      <c r="D492" s="102">
        <v>662974752</v>
      </c>
      <c r="E492" s="102">
        <v>2526040465</v>
      </c>
      <c r="F492" s="39" t="s">
        <v>256</v>
      </c>
      <c r="G492" s="81">
        <f>35846+(364+182)</f>
        <v>36392</v>
      </c>
      <c r="H492" s="50" t="str">
        <f t="shared" si="21"/>
        <v>Aug</v>
      </c>
      <c r="I492" s="51">
        <f t="shared" ca="1" si="22"/>
        <v>17</v>
      </c>
      <c r="J492" s="52" t="s">
        <v>283</v>
      </c>
      <c r="K492" s="53">
        <v>51410</v>
      </c>
      <c r="L492" s="54">
        <v>4</v>
      </c>
      <c r="M492" s="59">
        <f t="shared" si="23"/>
        <v>51410</v>
      </c>
    </row>
    <row r="493" spans="1:17" x14ac:dyDescent="0.25">
      <c r="A493" s="39" t="s">
        <v>842</v>
      </c>
      <c r="B493" s="46" t="s">
        <v>271</v>
      </c>
      <c r="C493" s="39" t="s">
        <v>767</v>
      </c>
      <c r="D493" s="102">
        <v>867100310</v>
      </c>
      <c r="E493" s="102">
        <v>9191376854</v>
      </c>
      <c r="F493" s="39" t="s">
        <v>256</v>
      </c>
      <c r="G493" s="81">
        <f>35847+(364+182)</f>
        <v>36393</v>
      </c>
      <c r="H493" s="50" t="str">
        <f t="shared" si="21"/>
        <v>Aug</v>
      </c>
      <c r="I493" s="51">
        <f t="shared" ca="1" si="22"/>
        <v>17</v>
      </c>
      <c r="J493" s="52" t="s">
        <v>283</v>
      </c>
      <c r="K493" s="53">
        <v>65910</v>
      </c>
      <c r="L493" s="54">
        <v>5</v>
      </c>
      <c r="M493" s="59">
        <f t="shared" si="23"/>
        <v>65910</v>
      </c>
    </row>
    <row r="494" spans="1:17" x14ac:dyDescent="0.25">
      <c r="A494" s="39" t="s">
        <v>291</v>
      </c>
      <c r="B494" s="46" t="s">
        <v>266</v>
      </c>
      <c r="C494" s="39" t="s">
        <v>272</v>
      </c>
      <c r="D494" s="102">
        <v>456946966</v>
      </c>
      <c r="E494" s="102">
        <v>9194680033</v>
      </c>
      <c r="F494" s="39" t="s">
        <v>256</v>
      </c>
      <c r="G494" s="81">
        <f>36218+(364+182)</f>
        <v>36764</v>
      </c>
      <c r="H494" s="50" t="str">
        <f t="shared" si="21"/>
        <v>Aug</v>
      </c>
      <c r="I494" s="51">
        <f t="shared" ca="1" si="22"/>
        <v>16</v>
      </c>
      <c r="J494" s="52" t="s">
        <v>276</v>
      </c>
      <c r="K494" s="53">
        <v>74840</v>
      </c>
      <c r="L494" s="54">
        <v>4</v>
      </c>
      <c r="M494" s="59">
        <f t="shared" si="23"/>
        <v>74840</v>
      </c>
    </row>
    <row r="495" spans="1:17" x14ac:dyDescent="0.25">
      <c r="A495" s="39" t="s">
        <v>617</v>
      </c>
      <c r="B495" s="46" t="s">
        <v>245</v>
      </c>
      <c r="C495" s="39" t="s">
        <v>618</v>
      </c>
      <c r="D495" s="102">
        <v>292006053</v>
      </c>
      <c r="E495" s="102">
        <v>9197045091</v>
      </c>
      <c r="F495" s="39" t="s">
        <v>247</v>
      </c>
      <c r="G495" s="81">
        <f>36219+(364+182)</f>
        <v>36765</v>
      </c>
      <c r="H495" s="50" t="str">
        <f t="shared" si="21"/>
        <v>Aug</v>
      </c>
      <c r="I495" s="51">
        <f t="shared" ca="1" si="22"/>
        <v>16</v>
      </c>
      <c r="J495" s="52"/>
      <c r="K495" s="53">
        <v>74500</v>
      </c>
      <c r="L495" s="54">
        <v>4</v>
      </c>
      <c r="M495" s="59">
        <f t="shared" si="23"/>
        <v>74500</v>
      </c>
    </row>
    <row r="496" spans="1:17" x14ac:dyDescent="0.25">
      <c r="A496" s="39" t="s">
        <v>402</v>
      </c>
      <c r="B496" s="46" t="s">
        <v>271</v>
      </c>
      <c r="C496" s="39" t="s">
        <v>391</v>
      </c>
      <c r="D496" s="102">
        <v>469591073</v>
      </c>
      <c r="E496" s="102">
        <v>2523327522</v>
      </c>
      <c r="F496" s="39" t="s">
        <v>256</v>
      </c>
      <c r="G496" s="81">
        <f>36567+(364+182)</f>
        <v>37113</v>
      </c>
      <c r="H496" s="50" t="str">
        <f t="shared" si="21"/>
        <v>Aug</v>
      </c>
      <c r="I496" s="51">
        <f t="shared" ca="1" si="22"/>
        <v>15</v>
      </c>
      <c r="J496" s="52" t="s">
        <v>267</v>
      </c>
      <c r="K496" s="53">
        <v>61150</v>
      </c>
      <c r="L496" s="54">
        <v>4</v>
      </c>
      <c r="M496" s="59">
        <f t="shared" si="23"/>
        <v>61150</v>
      </c>
    </row>
    <row r="497" spans="1:17" x14ac:dyDescent="0.25">
      <c r="A497" s="39" t="s">
        <v>709</v>
      </c>
      <c r="B497" s="46" t="s">
        <v>245</v>
      </c>
      <c r="C497" s="39" t="s">
        <v>705</v>
      </c>
      <c r="D497" s="102">
        <v>972791650</v>
      </c>
      <c r="E497" s="102">
        <v>2525236892</v>
      </c>
      <c r="F497" s="39" t="s">
        <v>261</v>
      </c>
      <c r="G497" s="81">
        <f>36924+(364+182)</f>
        <v>37470</v>
      </c>
      <c r="H497" s="50" t="str">
        <f t="shared" si="21"/>
        <v>Aug</v>
      </c>
      <c r="I497" s="51">
        <f t="shared" ca="1" si="22"/>
        <v>14</v>
      </c>
      <c r="J497" s="52" t="s">
        <v>257</v>
      </c>
      <c r="K497" s="53">
        <v>33810</v>
      </c>
      <c r="L497" s="54">
        <v>5</v>
      </c>
      <c r="M497" s="59">
        <f t="shared" si="23"/>
        <v>33810</v>
      </c>
    </row>
    <row r="498" spans="1:17" x14ac:dyDescent="0.25">
      <c r="A498" s="39" t="s">
        <v>991</v>
      </c>
      <c r="B498" s="46" t="s">
        <v>251</v>
      </c>
      <c r="C498" s="39" t="s">
        <v>930</v>
      </c>
      <c r="D498" s="102">
        <v>120361975</v>
      </c>
      <c r="E498" s="102">
        <v>2521789943</v>
      </c>
      <c r="F498" s="39" t="s">
        <v>256</v>
      </c>
      <c r="G498" s="81">
        <f>36949+(364+182)</f>
        <v>37495</v>
      </c>
      <c r="H498" s="50" t="str">
        <f t="shared" si="21"/>
        <v>Aug</v>
      </c>
      <c r="I498" s="51">
        <f t="shared" ca="1" si="22"/>
        <v>14</v>
      </c>
      <c r="J498" s="52" t="s">
        <v>276</v>
      </c>
      <c r="K498" s="53">
        <v>60300</v>
      </c>
      <c r="L498" s="54">
        <v>2</v>
      </c>
      <c r="M498" s="59">
        <f t="shared" si="23"/>
        <v>60300</v>
      </c>
    </row>
    <row r="499" spans="1:17" x14ac:dyDescent="0.25">
      <c r="A499" s="39" t="s">
        <v>821</v>
      </c>
      <c r="B499" s="46" t="s">
        <v>280</v>
      </c>
      <c r="C499" s="39" t="s">
        <v>767</v>
      </c>
      <c r="D499" s="102">
        <v>886332647</v>
      </c>
      <c r="E499" s="102">
        <v>2526698101</v>
      </c>
      <c r="F499" s="39" t="s">
        <v>256</v>
      </c>
      <c r="G499" s="81">
        <f>37302+(364+182)</f>
        <v>37848</v>
      </c>
      <c r="H499" s="50" t="str">
        <f t="shared" si="21"/>
        <v>Aug</v>
      </c>
      <c r="I499" s="51">
        <f t="shared" ca="1" si="22"/>
        <v>13</v>
      </c>
      <c r="J499" s="52" t="s">
        <v>262</v>
      </c>
      <c r="K499" s="53">
        <v>76910</v>
      </c>
      <c r="L499" s="54">
        <v>2</v>
      </c>
      <c r="M499" s="59">
        <f t="shared" si="23"/>
        <v>76910</v>
      </c>
      <c r="P499" s="75"/>
      <c r="Q499" s="75"/>
    </row>
    <row r="500" spans="1:17" x14ac:dyDescent="0.25">
      <c r="A500" s="39" t="s">
        <v>711</v>
      </c>
      <c r="B500" s="46" t="s">
        <v>271</v>
      </c>
      <c r="C500" s="39" t="s">
        <v>705</v>
      </c>
      <c r="D500" s="102">
        <v>972086665</v>
      </c>
      <c r="E500" s="102">
        <v>2526007063</v>
      </c>
      <c r="F500" s="39" t="s">
        <v>256</v>
      </c>
      <c r="G500" s="81">
        <f>37681+(364+182)</f>
        <v>38227</v>
      </c>
      <c r="H500" s="50" t="str">
        <f t="shared" si="21"/>
        <v>Aug</v>
      </c>
      <c r="I500" s="51">
        <f t="shared" ca="1" si="22"/>
        <v>12</v>
      </c>
      <c r="J500" s="52" t="s">
        <v>283</v>
      </c>
      <c r="K500" s="53">
        <v>86200</v>
      </c>
      <c r="L500" s="54">
        <v>3</v>
      </c>
      <c r="M500" s="59">
        <f t="shared" si="23"/>
        <v>86200</v>
      </c>
    </row>
    <row r="501" spans="1:17" x14ac:dyDescent="0.25">
      <c r="A501" s="39" t="s">
        <v>410</v>
      </c>
      <c r="B501" s="46" t="s">
        <v>285</v>
      </c>
      <c r="C501" s="39" t="s">
        <v>411</v>
      </c>
      <c r="D501" s="102">
        <v>850210766</v>
      </c>
      <c r="E501" s="102">
        <v>2527838614</v>
      </c>
      <c r="F501" s="39" t="s">
        <v>256</v>
      </c>
      <c r="G501" s="81">
        <f>38041+(364+182)</f>
        <v>38587</v>
      </c>
      <c r="H501" s="50" t="str">
        <f t="shared" si="21"/>
        <v>Aug</v>
      </c>
      <c r="I501" s="51">
        <f t="shared" ca="1" si="22"/>
        <v>11</v>
      </c>
      <c r="J501" s="52" t="s">
        <v>257</v>
      </c>
      <c r="K501" s="53">
        <v>47350</v>
      </c>
      <c r="L501" s="54">
        <v>5</v>
      </c>
      <c r="M501" s="59">
        <f t="shared" si="23"/>
        <v>47350</v>
      </c>
    </row>
    <row r="502" spans="1:17" x14ac:dyDescent="0.25">
      <c r="A502" s="39" t="s">
        <v>721</v>
      </c>
      <c r="B502" s="46" t="s">
        <v>251</v>
      </c>
      <c r="C502" s="39" t="s">
        <v>705</v>
      </c>
      <c r="D502" s="102">
        <v>120479503</v>
      </c>
      <c r="E502" s="102">
        <v>9196069116</v>
      </c>
      <c r="F502" s="39" t="s">
        <v>261</v>
      </c>
      <c r="G502" s="81">
        <f>38753+(364+182)</f>
        <v>39299</v>
      </c>
      <c r="H502" s="50" t="str">
        <f t="shared" si="21"/>
        <v>Aug</v>
      </c>
      <c r="I502" s="51">
        <f t="shared" ca="1" si="22"/>
        <v>9</v>
      </c>
      <c r="J502" s="52" t="s">
        <v>276</v>
      </c>
      <c r="K502" s="53">
        <v>47760</v>
      </c>
      <c r="L502" s="54">
        <v>3</v>
      </c>
      <c r="M502" s="59">
        <f t="shared" si="23"/>
        <v>47760</v>
      </c>
    </row>
    <row r="503" spans="1:17" x14ac:dyDescent="0.25">
      <c r="A503" s="39" t="s">
        <v>539</v>
      </c>
      <c r="B503" s="46" t="s">
        <v>266</v>
      </c>
      <c r="C503" s="39" t="s">
        <v>465</v>
      </c>
      <c r="D503" s="102">
        <v>858800513</v>
      </c>
      <c r="E503" s="102">
        <v>9193547588</v>
      </c>
      <c r="F503" s="39" t="s">
        <v>256</v>
      </c>
      <c r="G503" s="81">
        <f>38766+(364+182)</f>
        <v>39312</v>
      </c>
      <c r="H503" s="50" t="str">
        <f t="shared" si="21"/>
        <v>Aug</v>
      </c>
      <c r="I503" s="51">
        <f t="shared" ca="1" si="22"/>
        <v>9</v>
      </c>
      <c r="J503" s="52" t="s">
        <v>262</v>
      </c>
      <c r="K503" s="53">
        <v>71030</v>
      </c>
      <c r="L503" s="54">
        <v>3</v>
      </c>
      <c r="M503" s="59">
        <f t="shared" si="23"/>
        <v>71030</v>
      </c>
    </row>
    <row r="504" spans="1:17" x14ac:dyDescent="0.25">
      <c r="A504" s="39" t="s">
        <v>732</v>
      </c>
      <c r="B504" s="46" t="s">
        <v>266</v>
      </c>
      <c r="C504" s="39" t="s">
        <v>705</v>
      </c>
      <c r="D504" s="102">
        <v>443238477</v>
      </c>
      <c r="E504" s="102">
        <v>9198624601</v>
      </c>
      <c r="F504" s="39" t="s">
        <v>256</v>
      </c>
      <c r="G504" s="81">
        <f>39132+(364+182)</f>
        <v>39678</v>
      </c>
      <c r="H504" s="50" t="str">
        <f t="shared" si="21"/>
        <v>Aug</v>
      </c>
      <c r="I504" s="51">
        <f t="shared" ca="1" si="22"/>
        <v>8</v>
      </c>
      <c r="J504" s="52" t="s">
        <v>283</v>
      </c>
      <c r="K504" s="53">
        <v>80090</v>
      </c>
      <c r="L504" s="54">
        <v>2</v>
      </c>
      <c r="M504" s="59">
        <f t="shared" si="23"/>
        <v>80090</v>
      </c>
    </row>
    <row r="505" spans="1:17" x14ac:dyDescent="0.25">
      <c r="A505" s="39" t="s">
        <v>1001</v>
      </c>
      <c r="B505" s="46" t="s">
        <v>280</v>
      </c>
      <c r="C505" s="39" t="s">
        <v>930</v>
      </c>
      <c r="D505" s="102">
        <v>651999482</v>
      </c>
      <c r="E505" s="102">
        <v>2523014821</v>
      </c>
      <c r="F505" s="39" t="s">
        <v>256</v>
      </c>
      <c r="G505" s="81">
        <f>39133+(364+182)</f>
        <v>39679</v>
      </c>
      <c r="H505" s="50" t="str">
        <f t="shared" si="21"/>
        <v>Aug</v>
      </c>
      <c r="I505" s="51">
        <f t="shared" ca="1" si="22"/>
        <v>8</v>
      </c>
      <c r="J505" s="52" t="s">
        <v>257</v>
      </c>
      <c r="K505" s="53">
        <v>22820</v>
      </c>
      <c r="L505" s="54">
        <v>5</v>
      </c>
      <c r="M505" s="59">
        <f t="shared" si="23"/>
        <v>22820</v>
      </c>
    </row>
    <row r="506" spans="1:17" x14ac:dyDescent="0.25">
      <c r="A506" s="39" t="s">
        <v>449</v>
      </c>
      <c r="B506" s="46" t="s">
        <v>251</v>
      </c>
      <c r="C506" s="39" t="s">
        <v>417</v>
      </c>
      <c r="D506" s="102">
        <v>281005046</v>
      </c>
      <c r="E506" s="102">
        <v>2527051004</v>
      </c>
      <c r="F506" s="39" t="s">
        <v>247</v>
      </c>
      <c r="G506" s="81">
        <f>39508+(364+182)</f>
        <v>40054</v>
      </c>
      <c r="H506" s="50" t="str">
        <f t="shared" si="21"/>
        <v>Aug</v>
      </c>
      <c r="I506" s="51">
        <f t="shared" ca="1" si="22"/>
        <v>7</v>
      </c>
      <c r="J506" s="52"/>
      <c r="K506" s="53">
        <v>56920</v>
      </c>
      <c r="L506" s="54">
        <v>4</v>
      </c>
      <c r="M506" s="59">
        <f t="shared" si="23"/>
        <v>56920</v>
      </c>
    </row>
    <row r="507" spans="1:17" x14ac:dyDescent="0.25">
      <c r="A507" s="39" t="s">
        <v>706</v>
      </c>
      <c r="B507" s="46" t="s">
        <v>266</v>
      </c>
      <c r="C507" s="39" t="s">
        <v>705</v>
      </c>
      <c r="D507" s="102">
        <v>851400058</v>
      </c>
      <c r="E507" s="102">
        <v>9196012031</v>
      </c>
      <c r="F507" s="39" t="s">
        <v>261</v>
      </c>
      <c r="G507" s="103">
        <f>39847+(364+182)</f>
        <v>40393</v>
      </c>
      <c r="H507" s="50" t="str">
        <f t="shared" si="21"/>
        <v>Aug</v>
      </c>
      <c r="I507" s="51">
        <f t="shared" ca="1" si="22"/>
        <v>6</v>
      </c>
      <c r="J507" s="52" t="s">
        <v>257</v>
      </c>
      <c r="K507" s="53">
        <v>16925</v>
      </c>
      <c r="L507" s="54">
        <v>1</v>
      </c>
      <c r="M507" s="59">
        <f t="shared" si="23"/>
        <v>16925</v>
      </c>
    </row>
    <row r="508" spans="1:17" x14ac:dyDescent="0.25">
      <c r="A508" s="39" t="s">
        <v>424</v>
      </c>
      <c r="B508" s="46" t="s">
        <v>271</v>
      </c>
      <c r="C508" s="39" t="s">
        <v>417</v>
      </c>
      <c r="D508" s="102">
        <v>518690148</v>
      </c>
      <c r="E508" s="102">
        <v>2526500529</v>
      </c>
      <c r="F508" s="39" t="s">
        <v>256</v>
      </c>
      <c r="G508" s="81">
        <f>39853+(364+182)</f>
        <v>40399</v>
      </c>
      <c r="H508" s="50" t="str">
        <f t="shared" si="21"/>
        <v>Aug</v>
      </c>
      <c r="I508" s="51">
        <f t="shared" ca="1" si="22"/>
        <v>6</v>
      </c>
      <c r="J508" s="52" t="s">
        <v>267</v>
      </c>
      <c r="K508" s="53">
        <v>32640</v>
      </c>
      <c r="L508" s="54">
        <v>4</v>
      </c>
      <c r="M508" s="59">
        <f t="shared" si="23"/>
        <v>32640</v>
      </c>
    </row>
    <row r="509" spans="1:17" x14ac:dyDescent="0.25">
      <c r="A509" s="39" t="s">
        <v>413</v>
      </c>
      <c r="B509" s="46" t="s">
        <v>245</v>
      </c>
      <c r="C509" s="39" t="s">
        <v>411</v>
      </c>
      <c r="D509" s="102">
        <v>914041569</v>
      </c>
      <c r="E509" s="102">
        <v>9196082608</v>
      </c>
      <c r="F509" s="39" t="s">
        <v>256</v>
      </c>
      <c r="G509" s="103">
        <f>39854+(364+182)</f>
        <v>40400</v>
      </c>
      <c r="H509" s="50" t="str">
        <f t="shared" si="21"/>
        <v>Aug</v>
      </c>
      <c r="I509" s="51">
        <f t="shared" ca="1" si="22"/>
        <v>6</v>
      </c>
      <c r="J509" s="52" t="s">
        <v>283</v>
      </c>
      <c r="K509" s="53">
        <v>79150</v>
      </c>
      <c r="L509" s="54">
        <v>2</v>
      </c>
      <c r="M509" s="59">
        <f t="shared" si="23"/>
        <v>79150</v>
      </c>
    </row>
    <row r="510" spans="1:17" x14ac:dyDescent="0.25">
      <c r="A510" s="39" t="s">
        <v>741</v>
      </c>
      <c r="B510" s="46" t="s">
        <v>245</v>
      </c>
      <c r="C510" s="39" t="s">
        <v>705</v>
      </c>
      <c r="D510" s="102">
        <v>623823805</v>
      </c>
      <c r="E510" s="102">
        <v>9192602559</v>
      </c>
      <c r="F510" s="39" t="s">
        <v>252</v>
      </c>
      <c r="G510" s="109">
        <f>39857+(364+182)</f>
        <v>40403</v>
      </c>
      <c r="H510" s="50" t="str">
        <f t="shared" si="21"/>
        <v>Aug</v>
      </c>
      <c r="I510" s="51">
        <f t="shared" ca="1" si="22"/>
        <v>6</v>
      </c>
      <c r="J510" s="52"/>
      <c r="K510" s="53">
        <v>15056</v>
      </c>
      <c r="L510" s="54">
        <v>5</v>
      </c>
      <c r="M510" s="59">
        <f t="shared" si="23"/>
        <v>15056</v>
      </c>
    </row>
    <row r="511" spans="1:17" x14ac:dyDescent="0.25">
      <c r="A511" s="39" t="s">
        <v>851</v>
      </c>
      <c r="B511" s="46" t="s">
        <v>271</v>
      </c>
      <c r="C511" s="39" t="s">
        <v>767</v>
      </c>
      <c r="D511" s="102">
        <v>278129861</v>
      </c>
      <c r="E511" s="102">
        <v>9198561246</v>
      </c>
      <c r="F511" s="39" t="s">
        <v>247</v>
      </c>
      <c r="G511" s="103">
        <f>39858+(364+182)</f>
        <v>40404</v>
      </c>
      <c r="H511" s="50" t="str">
        <f t="shared" si="21"/>
        <v>Aug</v>
      </c>
      <c r="I511" s="51">
        <f t="shared" ca="1" si="22"/>
        <v>6</v>
      </c>
      <c r="J511" s="52"/>
      <c r="K511" s="53">
        <v>39550</v>
      </c>
      <c r="L511" s="54">
        <v>5</v>
      </c>
      <c r="M511" s="59">
        <f t="shared" si="23"/>
        <v>39550</v>
      </c>
    </row>
    <row r="512" spans="1:17" x14ac:dyDescent="0.25">
      <c r="A512" s="39" t="s">
        <v>781</v>
      </c>
      <c r="B512" s="46" t="s">
        <v>245</v>
      </c>
      <c r="C512" s="39" t="s">
        <v>767</v>
      </c>
      <c r="D512" s="102">
        <v>502200672</v>
      </c>
      <c r="E512" s="102">
        <v>2527925201</v>
      </c>
      <c r="F512" s="39" t="s">
        <v>247</v>
      </c>
      <c r="G512" s="103">
        <f>39864+(364+182)</f>
        <v>40410</v>
      </c>
      <c r="H512" s="50" t="str">
        <f t="shared" si="21"/>
        <v>Aug</v>
      </c>
      <c r="I512" s="51">
        <f t="shared" ca="1" si="22"/>
        <v>6</v>
      </c>
      <c r="J512" s="52"/>
      <c r="K512" s="53">
        <v>57680</v>
      </c>
      <c r="L512" s="54">
        <v>4</v>
      </c>
      <c r="M512" s="59">
        <f t="shared" si="23"/>
        <v>57680</v>
      </c>
    </row>
    <row r="513" spans="1:15" x14ac:dyDescent="0.25">
      <c r="A513" s="39" t="s">
        <v>846</v>
      </c>
      <c r="B513" s="46" t="s">
        <v>245</v>
      </c>
      <c r="C513" s="39" t="s">
        <v>767</v>
      </c>
      <c r="D513" s="102">
        <v>570756015</v>
      </c>
      <c r="E513" s="102">
        <v>2522238535</v>
      </c>
      <c r="F513" s="39" t="s">
        <v>261</v>
      </c>
      <c r="G513" s="103">
        <f>39875+(364+182)</f>
        <v>40421</v>
      </c>
      <c r="H513" s="50" t="str">
        <f t="shared" si="21"/>
        <v>Aug</v>
      </c>
      <c r="I513" s="51">
        <f t="shared" ca="1" si="22"/>
        <v>6</v>
      </c>
      <c r="J513" s="52" t="s">
        <v>262</v>
      </c>
      <c r="K513" s="53">
        <v>49355</v>
      </c>
      <c r="L513" s="54">
        <v>5</v>
      </c>
      <c r="M513" s="59">
        <f t="shared" si="23"/>
        <v>49355</v>
      </c>
    </row>
    <row r="514" spans="1:15" x14ac:dyDescent="0.25">
      <c r="A514" s="39" t="s">
        <v>441</v>
      </c>
      <c r="B514" s="46" t="s">
        <v>271</v>
      </c>
      <c r="C514" s="39" t="s">
        <v>417</v>
      </c>
      <c r="D514" s="102">
        <v>113699123</v>
      </c>
      <c r="E514" s="102">
        <v>2526563683</v>
      </c>
      <c r="F514" s="39" t="s">
        <v>256</v>
      </c>
      <c r="G514" s="81">
        <f>32571+(364+182)</f>
        <v>33117</v>
      </c>
      <c r="H514" s="50" t="str">
        <f t="shared" si="21"/>
        <v>Sep</v>
      </c>
      <c r="I514" s="51">
        <f t="shared" ca="1" si="22"/>
        <v>26</v>
      </c>
      <c r="J514" s="52" t="s">
        <v>267</v>
      </c>
      <c r="K514" s="53">
        <v>35360</v>
      </c>
      <c r="L514" s="54">
        <v>5</v>
      </c>
      <c r="M514" s="59">
        <f t="shared" si="23"/>
        <v>35360</v>
      </c>
    </row>
    <row r="515" spans="1:15" x14ac:dyDescent="0.25">
      <c r="A515" s="39" t="s">
        <v>791</v>
      </c>
      <c r="B515" s="46" t="s">
        <v>285</v>
      </c>
      <c r="C515" s="39" t="s">
        <v>767</v>
      </c>
      <c r="D515" s="102">
        <v>528258211</v>
      </c>
      <c r="E515" s="102">
        <v>9194727385</v>
      </c>
      <c r="F515" s="39" t="s">
        <v>256</v>
      </c>
      <c r="G515" s="81">
        <f>32582+(364+182)</f>
        <v>33128</v>
      </c>
      <c r="H515" s="50" t="str">
        <f t="shared" ref="H515:H578" si="24">CHOOSE(MONTH(G515),"Jan","Feb","Mar","Apr","May","Jun","Jul","Aug","Sep","Oct","Nov","Dec")</f>
        <v>Sep</v>
      </c>
      <c r="I515" s="51">
        <f t="shared" ref="I515:I578" ca="1" si="25">DATEDIF(G515,TODAY(),"Y")</f>
        <v>26</v>
      </c>
      <c r="J515" s="52" t="s">
        <v>267</v>
      </c>
      <c r="K515" s="53">
        <v>46110</v>
      </c>
      <c r="L515" s="54">
        <v>4</v>
      </c>
      <c r="M515" s="59">
        <f t="shared" ref="M515:M578" si="26">ROUND(K515*P513+K515,0)</f>
        <v>46110</v>
      </c>
    </row>
    <row r="516" spans="1:15" x14ac:dyDescent="0.25">
      <c r="A516" s="39" t="s">
        <v>953</v>
      </c>
      <c r="B516" s="46" t="s">
        <v>285</v>
      </c>
      <c r="C516" s="39" t="s">
        <v>930</v>
      </c>
      <c r="D516" s="102">
        <v>904497673</v>
      </c>
      <c r="E516" s="102">
        <v>2521277028</v>
      </c>
      <c r="F516" s="39" t="s">
        <v>247</v>
      </c>
      <c r="G516" s="81">
        <f>32598+(364+182)</f>
        <v>33144</v>
      </c>
      <c r="H516" s="50" t="str">
        <f t="shared" si="24"/>
        <v>Sep</v>
      </c>
      <c r="I516" s="51">
        <f t="shared" ca="1" si="25"/>
        <v>26</v>
      </c>
      <c r="J516" s="52"/>
      <c r="K516" s="53">
        <v>23340</v>
      </c>
      <c r="L516" s="54">
        <v>4</v>
      </c>
      <c r="M516" s="59">
        <f t="shared" si="26"/>
        <v>23340</v>
      </c>
    </row>
    <row r="517" spans="1:15" x14ac:dyDescent="0.25">
      <c r="A517" s="45" t="s">
        <v>279</v>
      </c>
      <c r="B517" s="46" t="s">
        <v>280</v>
      </c>
      <c r="C517" s="45" t="s">
        <v>272</v>
      </c>
      <c r="D517" s="106">
        <v>415076748</v>
      </c>
      <c r="E517" s="106">
        <v>9195230846</v>
      </c>
      <c r="F517" s="45" t="s">
        <v>252</v>
      </c>
      <c r="G517" s="105">
        <f>32936+(364+182)</f>
        <v>33482</v>
      </c>
      <c r="H517" s="50" t="str">
        <f t="shared" si="24"/>
        <v>Sep</v>
      </c>
      <c r="I517" s="51">
        <f t="shared" ca="1" si="25"/>
        <v>25</v>
      </c>
      <c r="J517" s="52" t="s">
        <v>257</v>
      </c>
      <c r="K517" s="53">
        <v>29070</v>
      </c>
      <c r="L517" s="54">
        <v>3</v>
      </c>
      <c r="M517" s="59">
        <f t="shared" si="26"/>
        <v>29070</v>
      </c>
      <c r="O517" s="104"/>
    </row>
    <row r="518" spans="1:15" x14ac:dyDescent="0.25">
      <c r="A518" s="39" t="s">
        <v>957</v>
      </c>
      <c r="B518" s="46" t="s">
        <v>285</v>
      </c>
      <c r="C518" s="39" t="s">
        <v>930</v>
      </c>
      <c r="D518" s="102">
        <v>970466937</v>
      </c>
      <c r="E518" s="102">
        <v>9192042331</v>
      </c>
      <c r="F518" s="39" t="s">
        <v>247</v>
      </c>
      <c r="G518" s="81">
        <f>32949+(364+182)</f>
        <v>33495</v>
      </c>
      <c r="H518" s="50" t="str">
        <f t="shared" si="24"/>
        <v>Sep</v>
      </c>
      <c r="I518" s="51">
        <f t="shared" ca="1" si="25"/>
        <v>25</v>
      </c>
      <c r="J518" s="52"/>
      <c r="K518" s="53">
        <v>62480</v>
      </c>
      <c r="L518" s="54">
        <v>5</v>
      </c>
      <c r="M518" s="59">
        <f t="shared" si="26"/>
        <v>62480</v>
      </c>
    </row>
    <row r="519" spans="1:15" x14ac:dyDescent="0.25">
      <c r="A519" s="39" t="s">
        <v>704</v>
      </c>
      <c r="B519" s="46" t="s">
        <v>271</v>
      </c>
      <c r="C519" s="39" t="s">
        <v>705</v>
      </c>
      <c r="D519" s="102">
        <v>290385638</v>
      </c>
      <c r="E519" s="102">
        <v>9194518022</v>
      </c>
      <c r="F519" s="39" t="s">
        <v>261</v>
      </c>
      <c r="G519" s="81">
        <f>32956+(364+182)</f>
        <v>33502</v>
      </c>
      <c r="H519" s="50" t="str">
        <f t="shared" si="24"/>
        <v>Sep</v>
      </c>
      <c r="I519" s="51">
        <f t="shared" ca="1" si="25"/>
        <v>25</v>
      </c>
      <c r="J519" s="52" t="s">
        <v>262</v>
      </c>
      <c r="K519" s="53">
        <v>35045</v>
      </c>
      <c r="L519" s="54">
        <v>4</v>
      </c>
      <c r="M519" s="59">
        <f t="shared" si="26"/>
        <v>35045</v>
      </c>
    </row>
    <row r="520" spans="1:15" x14ac:dyDescent="0.25">
      <c r="A520" s="39" t="s">
        <v>983</v>
      </c>
      <c r="B520" s="46" t="s">
        <v>271</v>
      </c>
      <c r="C520" s="39" t="s">
        <v>930</v>
      </c>
      <c r="D520" s="102">
        <v>111616346</v>
      </c>
      <c r="E520" s="102">
        <v>2525717431</v>
      </c>
      <c r="F520" s="39" t="s">
        <v>247</v>
      </c>
      <c r="G520" s="81">
        <f>32960+(364+182)</f>
        <v>33506</v>
      </c>
      <c r="H520" s="50" t="str">
        <f t="shared" si="24"/>
        <v>Sep</v>
      </c>
      <c r="I520" s="51">
        <f t="shared" ca="1" si="25"/>
        <v>25</v>
      </c>
      <c r="J520" s="52"/>
      <c r="K520" s="53">
        <v>61134</v>
      </c>
      <c r="L520" s="54">
        <v>4</v>
      </c>
      <c r="M520" s="59">
        <f t="shared" si="26"/>
        <v>61134</v>
      </c>
    </row>
    <row r="521" spans="1:15" x14ac:dyDescent="0.25">
      <c r="A521" s="39" t="s">
        <v>796</v>
      </c>
      <c r="B521" s="46" t="s">
        <v>271</v>
      </c>
      <c r="C521" s="39" t="s">
        <v>767</v>
      </c>
      <c r="D521" s="102">
        <v>561530671</v>
      </c>
      <c r="E521" s="102">
        <v>9192999652</v>
      </c>
      <c r="F521" s="39" t="s">
        <v>256</v>
      </c>
      <c r="G521" s="81">
        <f>32964+(364+182)</f>
        <v>33510</v>
      </c>
      <c r="H521" s="50" t="str">
        <f t="shared" si="24"/>
        <v>Sep</v>
      </c>
      <c r="I521" s="51">
        <f t="shared" ca="1" si="25"/>
        <v>25</v>
      </c>
      <c r="J521" s="52" t="s">
        <v>262</v>
      </c>
      <c r="K521" s="53">
        <v>54500</v>
      </c>
      <c r="L521" s="54">
        <v>5</v>
      </c>
      <c r="M521" s="59">
        <f t="shared" si="26"/>
        <v>54500</v>
      </c>
    </row>
    <row r="522" spans="1:15" x14ac:dyDescent="0.25">
      <c r="A522" s="39" t="s">
        <v>925</v>
      </c>
      <c r="B522" s="46" t="s">
        <v>271</v>
      </c>
      <c r="C522" s="39" t="s">
        <v>856</v>
      </c>
      <c r="D522" s="102">
        <v>627977314</v>
      </c>
      <c r="E522" s="102">
        <v>2521525844</v>
      </c>
      <c r="F522" s="39" t="s">
        <v>256</v>
      </c>
      <c r="G522" s="81">
        <f>33306+(364+182)</f>
        <v>33852</v>
      </c>
      <c r="H522" s="50" t="str">
        <f t="shared" si="24"/>
        <v>Sep</v>
      </c>
      <c r="I522" s="51">
        <f t="shared" ca="1" si="25"/>
        <v>24</v>
      </c>
      <c r="J522" s="52" t="s">
        <v>276</v>
      </c>
      <c r="K522" s="53">
        <v>86240</v>
      </c>
      <c r="L522" s="54">
        <v>1</v>
      </c>
      <c r="M522" s="59">
        <f t="shared" si="26"/>
        <v>86240</v>
      </c>
    </row>
    <row r="523" spans="1:15" x14ac:dyDescent="0.25">
      <c r="A523" s="39" t="s">
        <v>421</v>
      </c>
      <c r="B523" s="46" t="s">
        <v>280</v>
      </c>
      <c r="C523" s="39" t="s">
        <v>417</v>
      </c>
      <c r="D523" s="102">
        <v>291841866</v>
      </c>
      <c r="E523" s="102">
        <v>9191534053</v>
      </c>
      <c r="F523" s="39" t="s">
        <v>256</v>
      </c>
      <c r="G523" s="81">
        <f>33326+(364+182)</f>
        <v>33872</v>
      </c>
      <c r="H523" s="50" t="str">
        <f t="shared" si="24"/>
        <v>Sep</v>
      </c>
      <c r="I523" s="51">
        <f t="shared" ca="1" si="25"/>
        <v>24</v>
      </c>
      <c r="J523" s="52" t="s">
        <v>257</v>
      </c>
      <c r="K523" s="53">
        <v>64510</v>
      </c>
      <c r="L523" s="54">
        <v>3</v>
      </c>
      <c r="M523" s="59">
        <f t="shared" si="26"/>
        <v>64510</v>
      </c>
    </row>
    <row r="524" spans="1:15" x14ac:dyDescent="0.25">
      <c r="A524" s="39" t="s">
        <v>451</v>
      </c>
      <c r="B524" s="46" t="s">
        <v>271</v>
      </c>
      <c r="C524" s="39" t="s">
        <v>417</v>
      </c>
      <c r="D524" s="102">
        <v>603301910</v>
      </c>
      <c r="E524" s="102">
        <v>9196514650</v>
      </c>
      <c r="F524" s="39" t="s">
        <v>256</v>
      </c>
      <c r="G524" s="81">
        <f>33667+(364+182)</f>
        <v>34213</v>
      </c>
      <c r="H524" s="50" t="str">
        <f t="shared" si="24"/>
        <v>Sep</v>
      </c>
      <c r="I524" s="51">
        <f t="shared" ca="1" si="25"/>
        <v>23</v>
      </c>
      <c r="J524" s="52" t="s">
        <v>257</v>
      </c>
      <c r="K524" s="53">
        <v>72900</v>
      </c>
      <c r="L524" s="54">
        <v>3</v>
      </c>
      <c r="M524" s="59">
        <f t="shared" si="26"/>
        <v>72900</v>
      </c>
    </row>
    <row r="525" spans="1:15" x14ac:dyDescent="0.25">
      <c r="A525" s="39" t="s">
        <v>771</v>
      </c>
      <c r="B525" s="46" t="s">
        <v>271</v>
      </c>
      <c r="C525" s="39" t="s">
        <v>767</v>
      </c>
      <c r="D525" s="102">
        <v>313358310</v>
      </c>
      <c r="E525" s="102">
        <v>9195442791</v>
      </c>
      <c r="F525" s="39" t="s">
        <v>256</v>
      </c>
      <c r="G525" s="81">
        <f>33676+(364+182)</f>
        <v>34222</v>
      </c>
      <c r="H525" s="50" t="str">
        <f t="shared" si="24"/>
        <v>Sep</v>
      </c>
      <c r="I525" s="51">
        <f t="shared" ca="1" si="25"/>
        <v>23</v>
      </c>
      <c r="J525" s="52" t="s">
        <v>257</v>
      </c>
      <c r="K525" s="53">
        <v>62688</v>
      </c>
      <c r="L525" s="54">
        <v>2</v>
      </c>
      <c r="M525" s="59">
        <f t="shared" si="26"/>
        <v>62688</v>
      </c>
    </row>
    <row r="526" spans="1:15" x14ac:dyDescent="0.25">
      <c r="A526" s="39" t="s">
        <v>584</v>
      </c>
      <c r="B526" s="46" t="s">
        <v>251</v>
      </c>
      <c r="C526" s="39" t="s">
        <v>465</v>
      </c>
      <c r="D526" s="102">
        <v>783624212</v>
      </c>
      <c r="E526" s="102">
        <v>9193164024</v>
      </c>
      <c r="F526" s="39" t="s">
        <v>261</v>
      </c>
      <c r="G526" s="81">
        <f>34037+(364+182)</f>
        <v>34583</v>
      </c>
      <c r="H526" s="50" t="str">
        <f t="shared" si="24"/>
        <v>Sep</v>
      </c>
      <c r="I526" s="51">
        <f t="shared" ca="1" si="25"/>
        <v>22</v>
      </c>
      <c r="J526" s="52" t="s">
        <v>262</v>
      </c>
      <c r="K526" s="53">
        <v>15260</v>
      </c>
      <c r="L526" s="54">
        <v>2</v>
      </c>
      <c r="M526" s="59">
        <f t="shared" si="26"/>
        <v>15260</v>
      </c>
    </row>
    <row r="527" spans="1:15" x14ac:dyDescent="0.25">
      <c r="A527" s="39" t="s">
        <v>632</v>
      </c>
      <c r="B527" s="46" t="s">
        <v>280</v>
      </c>
      <c r="C527" s="39" t="s">
        <v>626</v>
      </c>
      <c r="D527" s="102">
        <v>991764142</v>
      </c>
      <c r="E527" s="102">
        <v>9192490678</v>
      </c>
      <c r="F527" s="39" t="s">
        <v>247</v>
      </c>
      <c r="G527" s="81">
        <f>34401+(364+182)</f>
        <v>34947</v>
      </c>
      <c r="H527" s="50" t="str">
        <f t="shared" si="24"/>
        <v>Sep</v>
      </c>
      <c r="I527" s="51">
        <f t="shared" ca="1" si="25"/>
        <v>21</v>
      </c>
      <c r="J527" s="52"/>
      <c r="K527" s="53">
        <v>81930</v>
      </c>
      <c r="L527" s="54">
        <v>5</v>
      </c>
      <c r="M527" s="59">
        <f t="shared" si="26"/>
        <v>81930</v>
      </c>
    </row>
    <row r="528" spans="1:15" x14ac:dyDescent="0.25">
      <c r="A528" s="39" t="s">
        <v>995</v>
      </c>
      <c r="B528" s="46" t="s">
        <v>245</v>
      </c>
      <c r="C528" s="39" t="s">
        <v>930</v>
      </c>
      <c r="D528" s="102">
        <v>145495793</v>
      </c>
      <c r="E528" s="102">
        <v>2521603964</v>
      </c>
      <c r="F528" s="39" t="s">
        <v>261</v>
      </c>
      <c r="G528" s="81">
        <f>34414+(364+182)</f>
        <v>34960</v>
      </c>
      <c r="H528" s="50" t="str">
        <f t="shared" si="24"/>
        <v>Sep</v>
      </c>
      <c r="I528" s="51">
        <f t="shared" ca="1" si="25"/>
        <v>21</v>
      </c>
      <c r="J528" s="52" t="s">
        <v>276</v>
      </c>
      <c r="K528" s="53">
        <v>23000</v>
      </c>
      <c r="L528" s="54">
        <v>4</v>
      </c>
      <c r="M528" s="59">
        <f t="shared" si="26"/>
        <v>23000</v>
      </c>
    </row>
    <row r="529" spans="1:34" x14ac:dyDescent="0.25">
      <c r="A529" s="39" t="s">
        <v>555</v>
      </c>
      <c r="B529" s="46" t="s">
        <v>285</v>
      </c>
      <c r="C529" s="39" t="s">
        <v>465</v>
      </c>
      <c r="D529" s="102">
        <v>565952209</v>
      </c>
      <c r="E529" s="102">
        <v>2522889972</v>
      </c>
      <c r="F529" s="39" t="s">
        <v>256</v>
      </c>
      <c r="G529" s="81">
        <f>34425+(364+182)</f>
        <v>34971</v>
      </c>
      <c r="H529" s="50" t="str">
        <f t="shared" si="24"/>
        <v>Sep</v>
      </c>
      <c r="I529" s="51">
        <f t="shared" ca="1" si="25"/>
        <v>21</v>
      </c>
      <c r="J529" s="52" t="s">
        <v>283</v>
      </c>
      <c r="K529" s="53">
        <v>67050</v>
      </c>
      <c r="L529" s="54">
        <v>4</v>
      </c>
      <c r="M529" s="59">
        <f t="shared" si="26"/>
        <v>67050</v>
      </c>
    </row>
    <row r="530" spans="1:34" s="84" customFormat="1" x14ac:dyDescent="0.25">
      <c r="A530" s="39" t="s">
        <v>482</v>
      </c>
      <c r="B530" s="46" t="s">
        <v>251</v>
      </c>
      <c r="C530" s="39" t="s">
        <v>465</v>
      </c>
      <c r="D530" s="102">
        <v>682907379</v>
      </c>
      <c r="E530" s="102">
        <v>2521854525</v>
      </c>
      <c r="F530" s="39" t="s">
        <v>256</v>
      </c>
      <c r="G530" s="81">
        <f>34765+(364+182)</f>
        <v>35311</v>
      </c>
      <c r="H530" s="50" t="str">
        <f t="shared" si="24"/>
        <v>Sep</v>
      </c>
      <c r="I530" s="51">
        <f t="shared" ca="1" si="25"/>
        <v>20</v>
      </c>
      <c r="J530" s="52" t="s">
        <v>267</v>
      </c>
      <c r="K530" s="53">
        <v>39520</v>
      </c>
      <c r="L530" s="54">
        <v>5</v>
      </c>
      <c r="M530" s="59">
        <f t="shared" si="26"/>
        <v>39520</v>
      </c>
      <c r="N530" s="100"/>
      <c r="O530" s="45"/>
      <c r="P530" s="39"/>
      <c r="Q530" s="39"/>
      <c r="R530" s="39"/>
      <c r="S530" s="39"/>
      <c r="T530" s="39"/>
      <c r="U530" s="39"/>
      <c r="V530" s="39"/>
      <c r="W530" s="39"/>
      <c r="X530" s="39"/>
      <c r="Y530" s="39"/>
      <c r="Z530" s="39"/>
      <c r="AA530" s="39"/>
      <c r="AB530" s="39"/>
      <c r="AC530" s="39"/>
      <c r="AD530" s="39"/>
      <c r="AE530" s="39"/>
      <c r="AF530" s="39"/>
      <c r="AG530" s="39"/>
      <c r="AH530" s="39"/>
    </row>
    <row r="531" spans="1:34" s="84" customFormat="1" x14ac:dyDescent="0.25">
      <c r="A531" s="39" t="s">
        <v>415</v>
      </c>
      <c r="B531" s="46" t="s">
        <v>271</v>
      </c>
      <c r="C531" s="39" t="s">
        <v>411</v>
      </c>
      <c r="D531" s="102">
        <v>999789446</v>
      </c>
      <c r="E531" s="102">
        <v>2521696804</v>
      </c>
      <c r="F531" s="39" t="s">
        <v>256</v>
      </c>
      <c r="G531" s="81">
        <f>34783+(364+182)</f>
        <v>35329</v>
      </c>
      <c r="H531" s="50" t="str">
        <f t="shared" si="24"/>
        <v>Sep</v>
      </c>
      <c r="I531" s="51">
        <f t="shared" ca="1" si="25"/>
        <v>20</v>
      </c>
      <c r="J531" s="52" t="s">
        <v>257</v>
      </c>
      <c r="K531" s="53">
        <v>66740</v>
      </c>
      <c r="L531" s="54">
        <v>2</v>
      </c>
      <c r="M531" s="59">
        <f t="shared" si="26"/>
        <v>66740</v>
      </c>
      <c r="N531" s="100"/>
      <c r="O531" s="45"/>
      <c r="P531" s="39"/>
      <c r="Q531" s="39"/>
      <c r="R531" s="39"/>
      <c r="S531" s="39"/>
      <c r="T531" s="39"/>
      <c r="U531" s="39"/>
      <c r="V531" s="39"/>
      <c r="W531" s="39"/>
      <c r="X531" s="39"/>
      <c r="Y531" s="39"/>
      <c r="Z531" s="39"/>
      <c r="AA531" s="39"/>
      <c r="AB531" s="39"/>
      <c r="AC531" s="39"/>
      <c r="AD531" s="39"/>
      <c r="AE531" s="39"/>
      <c r="AF531" s="39"/>
      <c r="AG531" s="39"/>
      <c r="AH531" s="39"/>
    </row>
    <row r="532" spans="1:34" s="84" customFormat="1" x14ac:dyDescent="0.25">
      <c r="A532" s="39" t="s">
        <v>961</v>
      </c>
      <c r="B532" s="46" t="s">
        <v>280</v>
      </c>
      <c r="C532" s="39" t="s">
        <v>930</v>
      </c>
      <c r="D532" s="102">
        <v>733358713</v>
      </c>
      <c r="E532" s="102">
        <v>9196648050</v>
      </c>
      <c r="F532" s="39" t="s">
        <v>247</v>
      </c>
      <c r="G532" s="81">
        <f>34792+(364+182)</f>
        <v>35338</v>
      </c>
      <c r="H532" s="50" t="str">
        <f t="shared" si="24"/>
        <v>Sep</v>
      </c>
      <c r="I532" s="51">
        <f t="shared" ca="1" si="25"/>
        <v>20</v>
      </c>
      <c r="J532" s="52"/>
      <c r="K532" s="53">
        <v>87830</v>
      </c>
      <c r="L532" s="54">
        <v>2</v>
      </c>
      <c r="M532" s="59">
        <f t="shared" si="26"/>
        <v>87830</v>
      </c>
      <c r="N532" s="100"/>
      <c r="O532" s="45"/>
      <c r="P532" s="39"/>
      <c r="Q532" s="39"/>
      <c r="R532" s="39"/>
      <c r="S532" s="39"/>
      <c r="T532" s="39"/>
      <c r="U532" s="39"/>
      <c r="V532" s="39"/>
      <c r="W532" s="39"/>
      <c r="X532" s="39"/>
      <c r="Y532" s="39"/>
      <c r="Z532" s="39"/>
      <c r="AA532" s="39"/>
      <c r="AB532" s="39"/>
      <c r="AC532" s="39"/>
      <c r="AD532" s="39"/>
      <c r="AE532" s="39"/>
      <c r="AF532" s="39"/>
      <c r="AG532" s="39"/>
      <c r="AH532" s="39"/>
    </row>
    <row r="533" spans="1:34" s="84" customFormat="1" x14ac:dyDescent="0.25">
      <c r="A533" s="39" t="s">
        <v>301</v>
      </c>
      <c r="B533" s="46" t="s">
        <v>271</v>
      </c>
      <c r="C533" s="39" t="s">
        <v>296</v>
      </c>
      <c r="D533" s="102">
        <v>243350742</v>
      </c>
      <c r="E533" s="102">
        <v>2528304204</v>
      </c>
      <c r="F533" s="39" t="s">
        <v>252</v>
      </c>
      <c r="G533" s="81">
        <f>35128+(364+182)</f>
        <v>35674</v>
      </c>
      <c r="H533" s="50" t="str">
        <f t="shared" si="24"/>
        <v>Sep</v>
      </c>
      <c r="I533" s="51">
        <f t="shared" ca="1" si="25"/>
        <v>19</v>
      </c>
      <c r="J533" s="52"/>
      <c r="K533" s="53">
        <v>20028</v>
      </c>
      <c r="L533" s="54">
        <v>4</v>
      </c>
      <c r="M533" s="59">
        <f t="shared" si="26"/>
        <v>20028</v>
      </c>
      <c r="N533" s="100"/>
      <c r="O533" s="45"/>
      <c r="P533" s="39"/>
      <c r="Q533" s="39"/>
      <c r="R533" s="39"/>
      <c r="S533" s="39"/>
      <c r="T533" s="39"/>
      <c r="U533" s="39"/>
      <c r="V533" s="39"/>
      <c r="W533" s="39"/>
      <c r="X533" s="39"/>
      <c r="Y533" s="39"/>
      <c r="Z533" s="39"/>
      <c r="AA533" s="39"/>
      <c r="AB533" s="39"/>
      <c r="AC533" s="39"/>
      <c r="AD533" s="39"/>
      <c r="AE533" s="39"/>
      <c r="AF533" s="39"/>
      <c r="AG533" s="39"/>
      <c r="AH533" s="39"/>
    </row>
    <row r="534" spans="1:34" s="84" customFormat="1" x14ac:dyDescent="0.25">
      <c r="A534" s="39" t="s">
        <v>669</v>
      </c>
      <c r="B534" s="46" t="s">
        <v>285</v>
      </c>
      <c r="C534" s="39" t="s">
        <v>626</v>
      </c>
      <c r="D534" s="102">
        <v>479081328</v>
      </c>
      <c r="E534" s="102">
        <v>2525368383</v>
      </c>
      <c r="F534" s="39" t="s">
        <v>247</v>
      </c>
      <c r="G534" s="81">
        <f>35136+(364+182)</f>
        <v>35682</v>
      </c>
      <c r="H534" s="50" t="str">
        <f t="shared" si="24"/>
        <v>Sep</v>
      </c>
      <c r="I534" s="51">
        <f t="shared" ca="1" si="25"/>
        <v>19</v>
      </c>
      <c r="J534" s="52"/>
      <c r="K534" s="53">
        <v>63850</v>
      </c>
      <c r="L534" s="54">
        <v>2</v>
      </c>
      <c r="M534" s="59">
        <f t="shared" si="26"/>
        <v>63850</v>
      </c>
      <c r="N534" s="100"/>
      <c r="O534" s="45"/>
      <c r="P534" s="39"/>
      <c r="Q534" s="39"/>
      <c r="R534" s="39"/>
      <c r="S534" s="39"/>
      <c r="T534" s="39"/>
      <c r="U534" s="39"/>
      <c r="V534" s="39"/>
      <c r="W534" s="39"/>
      <c r="X534" s="39"/>
      <c r="Y534" s="39"/>
      <c r="Z534" s="39"/>
      <c r="AA534" s="39"/>
      <c r="AB534" s="39"/>
      <c r="AC534" s="39"/>
      <c r="AD534" s="39"/>
      <c r="AE534" s="39"/>
      <c r="AF534" s="39"/>
      <c r="AG534" s="39"/>
      <c r="AH534" s="39"/>
    </row>
    <row r="535" spans="1:34" s="84" customFormat="1" x14ac:dyDescent="0.25">
      <c r="A535" s="39" t="s">
        <v>877</v>
      </c>
      <c r="B535" s="46" t="s">
        <v>271</v>
      </c>
      <c r="C535" s="39" t="s">
        <v>856</v>
      </c>
      <c r="D535" s="102">
        <v>863736129</v>
      </c>
      <c r="E535" s="102">
        <v>2522778445</v>
      </c>
      <c r="F535" s="39" t="s">
        <v>261</v>
      </c>
      <c r="G535" s="81">
        <f>35142+(364+182)</f>
        <v>35688</v>
      </c>
      <c r="H535" s="50" t="str">
        <f t="shared" si="24"/>
        <v>Sep</v>
      </c>
      <c r="I535" s="51">
        <f t="shared" ca="1" si="25"/>
        <v>19</v>
      </c>
      <c r="J535" s="52" t="s">
        <v>283</v>
      </c>
      <c r="K535" s="53">
        <v>42740</v>
      </c>
      <c r="L535" s="54">
        <v>2</v>
      </c>
      <c r="M535" s="59">
        <f t="shared" si="26"/>
        <v>42740</v>
      </c>
      <c r="N535" s="100"/>
      <c r="O535" s="45"/>
      <c r="P535" s="39"/>
      <c r="Q535" s="39"/>
      <c r="R535" s="39"/>
      <c r="S535" s="39"/>
      <c r="T535" s="39"/>
      <c r="U535" s="39"/>
      <c r="V535" s="39"/>
      <c r="W535" s="39"/>
      <c r="X535" s="39"/>
      <c r="Y535" s="39"/>
      <c r="Z535" s="39"/>
      <c r="AA535" s="39"/>
      <c r="AB535" s="39"/>
      <c r="AC535" s="39"/>
      <c r="AD535" s="39"/>
      <c r="AE535" s="39"/>
      <c r="AF535" s="39"/>
      <c r="AG535" s="39"/>
      <c r="AH535" s="39"/>
    </row>
    <row r="536" spans="1:34" s="84" customFormat="1" x14ac:dyDescent="0.25">
      <c r="A536" s="39" t="s">
        <v>795</v>
      </c>
      <c r="B536" s="46" t="s">
        <v>285</v>
      </c>
      <c r="C536" s="39" t="s">
        <v>767</v>
      </c>
      <c r="D536" s="102">
        <v>965916299</v>
      </c>
      <c r="E536" s="102">
        <v>9193552027</v>
      </c>
      <c r="F536" s="39" t="s">
        <v>256</v>
      </c>
      <c r="G536" s="81">
        <f>35147+(364+182)</f>
        <v>35693</v>
      </c>
      <c r="H536" s="50" t="str">
        <f t="shared" si="24"/>
        <v>Sep</v>
      </c>
      <c r="I536" s="51">
        <f t="shared" ca="1" si="25"/>
        <v>19</v>
      </c>
      <c r="J536" s="52" t="s">
        <v>262</v>
      </c>
      <c r="K536" s="53">
        <v>24340</v>
      </c>
      <c r="L536" s="54">
        <v>4</v>
      </c>
      <c r="M536" s="59">
        <f t="shared" si="26"/>
        <v>24340</v>
      </c>
      <c r="N536" s="100"/>
      <c r="O536" s="45"/>
      <c r="P536" s="39"/>
      <c r="Q536" s="39"/>
      <c r="R536" s="39"/>
      <c r="S536" s="39"/>
      <c r="T536" s="39"/>
      <c r="U536" s="39"/>
      <c r="V536" s="39"/>
      <c r="W536" s="39"/>
      <c r="X536" s="39"/>
      <c r="Y536" s="39"/>
      <c r="Z536" s="39"/>
      <c r="AA536" s="39"/>
      <c r="AB536" s="39"/>
      <c r="AC536" s="39"/>
      <c r="AD536" s="39"/>
      <c r="AE536" s="39"/>
      <c r="AF536" s="39"/>
      <c r="AG536" s="39"/>
      <c r="AH536" s="39"/>
    </row>
    <row r="537" spans="1:34" s="84" customFormat="1" x14ac:dyDescent="0.25">
      <c r="A537" s="39" t="s">
        <v>597</v>
      </c>
      <c r="B537" s="46" t="s">
        <v>271</v>
      </c>
      <c r="C537" s="39" t="s">
        <v>465</v>
      </c>
      <c r="D537" s="102">
        <v>676030562</v>
      </c>
      <c r="E537" s="102">
        <v>9198253211</v>
      </c>
      <c r="F537" s="39" t="s">
        <v>256</v>
      </c>
      <c r="G537" s="81">
        <f>35149+(364+182)</f>
        <v>35695</v>
      </c>
      <c r="H537" s="50" t="str">
        <f t="shared" si="24"/>
        <v>Sep</v>
      </c>
      <c r="I537" s="51">
        <f t="shared" ca="1" si="25"/>
        <v>19</v>
      </c>
      <c r="J537" s="52" t="s">
        <v>257</v>
      </c>
      <c r="K537" s="53">
        <v>60100</v>
      </c>
      <c r="L537" s="54">
        <v>1</v>
      </c>
      <c r="M537" s="59">
        <f t="shared" si="26"/>
        <v>60100</v>
      </c>
      <c r="N537" s="100"/>
      <c r="O537" s="45"/>
      <c r="P537" s="39"/>
      <c r="Q537" s="39"/>
      <c r="R537" s="39"/>
      <c r="S537" s="39"/>
      <c r="T537" s="39"/>
      <c r="U537" s="39"/>
      <c r="V537" s="39"/>
      <c r="W537" s="39"/>
      <c r="X537" s="39"/>
      <c r="Y537" s="39"/>
      <c r="Z537" s="39"/>
      <c r="AA537" s="39"/>
      <c r="AB537" s="39"/>
      <c r="AC537" s="39"/>
      <c r="AD537" s="39"/>
      <c r="AE537" s="39"/>
      <c r="AF537" s="39"/>
      <c r="AG537" s="39"/>
      <c r="AH537" s="39"/>
    </row>
    <row r="538" spans="1:34" s="84" customFormat="1" x14ac:dyDescent="0.25">
      <c r="A538" s="39" t="s">
        <v>783</v>
      </c>
      <c r="B538" s="46" t="s">
        <v>251</v>
      </c>
      <c r="C538" s="39" t="s">
        <v>767</v>
      </c>
      <c r="D538" s="102">
        <v>698472533</v>
      </c>
      <c r="E538" s="102">
        <v>9192917217</v>
      </c>
      <c r="F538" s="39" t="s">
        <v>247</v>
      </c>
      <c r="G538" s="81">
        <f>35153+(364+182)</f>
        <v>35699</v>
      </c>
      <c r="H538" s="50" t="str">
        <f t="shared" si="24"/>
        <v>Sep</v>
      </c>
      <c r="I538" s="51">
        <f t="shared" ca="1" si="25"/>
        <v>19</v>
      </c>
      <c r="J538" s="52"/>
      <c r="K538" s="53">
        <v>36230</v>
      </c>
      <c r="L538" s="54">
        <v>2</v>
      </c>
      <c r="M538" s="59">
        <f t="shared" si="26"/>
        <v>36230</v>
      </c>
      <c r="N538" s="100"/>
      <c r="O538" s="45"/>
      <c r="P538" s="39"/>
      <c r="Q538" s="39"/>
      <c r="R538" s="39"/>
      <c r="S538" s="39"/>
      <c r="T538" s="39"/>
      <c r="U538" s="39"/>
      <c r="V538" s="39"/>
      <c r="W538" s="39"/>
      <c r="X538" s="39"/>
      <c r="Y538" s="39"/>
      <c r="Z538" s="39"/>
      <c r="AA538" s="39"/>
      <c r="AB538" s="39"/>
      <c r="AC538" s="39"/>
      <c r="AD538" s="39"/>
      <c r="AE538" s="39"/>
      <c r="AF538" s="39"/>
      <c r="AG538" s="39"/>
      <c r="AH538" s="39"/>
    </row>
    <row r="539" spans="1:34" s="84" customFormat="1" x14ac:dyDescent="0.25">
      <c r="A539" s="39" t="s">
        <v>610</v>
      </c>
      <c r="B539" s="46" t="s">
        <v>285</v>
      </c>
      <c r="C539" s="39" t="s">
        <v>465</v>
      </c>
      <c r="D539" s="102">
        <v>597131266</v>
      </c>
      <c r="E539" s="102">
        <v>9195043141</v>
      </c>
      <c r="F539" s="39" t="s">
        <v>256</v>
      </c>
      <c r="G539" s="81">
        <f>35157+(364+182)</f>
        <v>35703</v>
      </c>
      <c r="H539" s="50" t="str">
        <f t="shared" si="24"/>
        <v>Sep</v>
      </c>
      <c r="I539" s="51">
        <f t="shared" ca="1" si="25"/>
        <v>19</v>
      </c>
      <c r="J539" s="52" t="s">
        <v>262</v>
      </c>
      <c r="K539" s="53">
        <v>66430</v>
      </c>
      <c r="L539" s="54">
        <v>2</v>
      </c>
      <c r="M539" s="59">
        <f t="shared" si="26"/>
        <v>66430</v>
      </c>
      <c r="N539" s="100"/>
      <c r="O539" s="45"/>
      <c r="P539" s="39"/>
      <c r="Q539" s="39"/>
      <c r="R539" s="39"/>
      <c r="S539" s="39"/>
      <c r="T539" s="39"/>
      <c r="U539" s="39"/>
      <c r="V539" s="39"/>
      <c r="W539" s="39"/>
      <c r="X539" s="39"/>
      <c r="Y539" s="39"/>
      <c r="Z539" s="39"/>
      <c r="AA539" s="39"/>
      <c r="AB539" s="39"/>
      <c r="AC539" s="39"/>
      <c r="AD539" s="39"/>
      <c r="AE539" s="39"/>
      <c r="AF539" s="39"/>
      <c r="AG539" s="39"/>
      <c r="AH539" s="39"/>
    </row>
    <row r="540" spans="1:34" s="84" customFormat="1" x14ac:dyDescent="0.25">
      <c r="A540" s="39" t="s">
        <v>691</v>
      </c>
      <c r="B540" s="46" t="s">
        <v>245</v>
      </c>
      <c r="C540" s="39" t="s">
        <v>678</v>
      </c>
      <c r="D540" s="102">
        <v>550291321</v>
      </c>
      <c r="E540" s="102">
        <v>9192529195</v>
      </c>
      <c r="F540" s="39" t="s">
        <v>247</v>
      </c>
      <c r="G540" s="81">
        <f>35501+(364+182)</f>
        <v>36047</v>
      </c>
      <c r="H540" s="50" t="str">
        <f t="shared" si="24"/>
        <v>Sep</v>
      </c>
      <c r="I540" s="51">
        <f t="shared" ca="1" si="25"/>
        <v>18</v>
      </c>
      <c r="J540" s="52"/>
      <c r="K540" s="53">
        <v>72480</v>
      </c>
      <c r="L540" s="54">
        <v>2</v>
      </c>
      <c r="M540" s="59">
        <f t="shared" si="26"/>
        <v>72480</v>
      </c>
      <c r="N540" s="100"/>
      <c r="O540" s="45"/>
      <c r="P540" s="39"/>
      <c r="Q540" s="39"/>
      <c r="R540" s="39"/>
      <c r="S540" s="39"/>
      <c r="T540" s="39"/>
      <c r="U540" s="39"/>
      <c r="V540" s="39"/>
      <c r="W540" s="39"/>
      <c r="X540" s="39"/>
      <c r="Y540" s="39"/>
      <c r="Z540" s="39"/>
      <c r="AA540" s="39"/>
      <c r="AB540" s="39"/>
      <c r="AC540" s="39"/>
      <c r="AD540" s="39"/>
      <c r="AE540" s="39"/>
      <c r="AF540" s="39"/>
      <c r="AG540" s="39"/>
      <c r="AH540" s="39"/>
    </row>
    <row r="541" spans="1:34" s="84" customFormat="1" x14ac:dyDescent="0.25">
      <c r="A541" s="39" t="s">
        <v>944</v>
      </c>
      <c r="B541" s="46" t="s">
        <v>280</v>
      </c>
      <c r="C541" s="39" t="s">
        <v>930</v>
      </c>
      <c r="D541" s="102">
        <v>658842625</v>
      </c>
      <c r="E541" s="102">
        <v>9193788281</v>
      </c>
      <c r="F541" s="39" t="s">
        <v>261</v>
      </c>
      <c r="G541" s="81">
        <f>35507+(364+182)</f>
        <v>36053</v>
      </c>
      <c r="H541" s="50" t="str">
        <f t="shared" si="24"/>
        <v>Sep</v>
      </c>
      <c r="I541" s="51">
        <f t="shared" ca="1" si="25"/>
        <v>18</v>
      </c>
      <c r="J541" s="52" t="s">
        <v>276</v>
      </c>
      <c r="K541" s="53">
        <v>46105</v>
      </c>
      <c r="L541" s="54">
        <v>5</v>
      </c>
      <c r="M541" s="59">
        <f t="shared" si="26"/>
        <v>46105</v>
      </c>
      <c r="N541" s="100"/>
      <c r="O541" s="45"/>
      <c r="P541" s="39"/>
      <c r="Q541" s="39"/>
      <c r="R541" s="39"/>
      <c r="S541" s="39"/>
      <c r="T541" s="39"/>
      <c r="U541" s="39"/>
      <c r="V541" s="39"/>
      <c r="W541" s="39"/>
      <c r="X541" s="39"/>
      <c r="Y541" s="39"/>
      <c r="Z541" s="39"/>
      <c r="AA541" s="39"/>
      <c r="AB541" s="39"/>
      <c r="AC541" s="39"/>
      <c r="AD541" s="39"/>
      <c r="AE541" s="39"/>
      <c r="AF541" s="39"/>
      <c r="AG541" s="39"/>
      <c r="AH541" s="39"/>
    </row>
    <row r="542" spans="1:34" s="84" customFormat="1" x14ac:dyDescent="0.25">
      <c r="A542" s="39" t="s">
        <v>341</v>
      </c>
      <c r="B542" s="46" t="s">
        <v>245</v>
      </c>
      <c r="C542" s="39" t="s">
        <v>312</v>
      </c>
      <c r="D542" s="102">
        <v>126492342</v>
      </c>
      <c r="E542" s="102">
        <v>9196299247</v>
      </c>
      <c r="F542" s="39" t="s">
        <v>252</v>
      </c>
      <c r="G542" s="81">
        <f>35513+(364+182)</f>
        <v>36059</v>
      </c>
      <c r="H542" s="50" t="str">
        <f t="shared" si="24"/>
        <v>Sep</v>
      </c>
      <c r="I542" s="51">
        <f t="shared" ca="1" si="25"/>
        <v>18</v>
      </c>
      <c r="J542" s="52"/>
      <c r="K542" s="53">
        <v>18500</v>
      </c>
      <c r="L542" s="54">
        <v>5</v>
      </c>
      <c r="M542" s="59">
        <f t="shared" si="26"/>
        <v>18500</v>
      </c>
      <c r="N542" s="100"/>
      <c r="O542" s="45"/>
      <c r="P542" s="39"/>
      <c r="Q542" s="39"/>
      <c r="R542" s="39"/>
      <c r="S542" s="39"/>
      <c r="T542" s="39"/>
      <c r="U542" s="39"/>
      <c r="V542" s="39"/>
      <c r="W542" s="39"/>
      <c r="X542" s="39"/>
      <c r="Y542" s="39"/>
      <c r="Z542" s="39"/>
      <c r="AA542" s="39"/>
      <c r="AB542" s="39"/>
      <c r="AC542" s="39"/>
      <c r="AD542" s="39"/>
      <c r="AE542" s="39"/>
      <c r="AF542" s="39"/>
      <c r="AG542" s="39"/>
      <c r="AH542" s="39"/>
    </row>
    <row r="543" spans="1:34" s="84" customFormat="1" x14ac:dyDescent="0.25">
      <c r="A543" s="39" t="s">
        <v>573</v>
      </c>
      <c r="B543" s="46" t="s">
        <v>280</v>
      </c>
      <c r="C543" s="39" t="s">
        <v>465</v>
      </c>
      <c r="D543" s="102">
        <v>993383806</v>
      </c>
      <c r="E543" s="102">
        <v>2521810581</v>
      </c>
      <c r="F543" s="39" t="s">
        <v>252</v>
      </c>
      <c r="G543" s="81">
        <f>35521+(364+182)</f>
        <v>36067</v>
      </c>
      <c r="H543" s="50" t="str">
        <f t="shared" si="24"/>
        <v>Sep</v>
      </c>
      <c r="I543" s="51">
        <f t="shared" ca="1" si="25"/>
        <v>18</v>
      </c>
      <c r="J543" s="52"/>
      <c r="K543" s="53">
        <v>37612</v>
      </c>
      <c r="L543" s="54">
        <v>4</v>
      </c>
      <c r="M543" s="59">
        <f t="shared" si="26"/>
        <v>37612</v>
      </c>
      <c r="N543" s="100"/>
      <c r="O543" s="45"/>
      <c r="P543" s="39"/>
      <c r="Q543" s="39"/>
      <c r="R543" s="39"/>
      <c r="S543" s="39"/>
      <c r="T543" s="39"/>
      <c r="U543" s="39"/>
      <c r="V543" s="39"/>
      <c r="W543" s="39"/>
      <c r="X543" s="39"/>
      <c r="Y543" s="39"/>
      <c r="Z543" s="39"/>
      <c r="AA543" s="39"/>
      <c r="AB543" s="39"/>
      <c r="AC543" s="39"/>
      <c r="AD543" s="39"/>
      <c r="AE543" s="39"/>
      <c r="AF543" s="39"/>
      <c r="AG543" s="39"/>
      <c r="AH543" s="39"/>
    </row>
    <row r="544" spans="1:34" s="84" customFormat="1" x14ac:dyDescent="0.25">
      <c r="A544" s="39" t="s">
        <v>874</v>
      </c>
      <c r="B544" s="46" t="s">
        <v>271</v>
      </c>
      <c r="C544" s="39" t="s">
        <v>856</v>
      </c>
      <c r="D544" s="102">
        <v>548704405</v>
      </c>
      <c r="E544" s="102">
        <v>2526458440</v>
      </c>
      <c r="F544" s="39" t="s">
        <v>247</v>
      </c>
      <c r="G544" s="81">
        <f>35860+(364+182)</f>
        <v>36406</v>
      </c>
      <c r="H544" s="50" t="str">
        <f t="shared" si="24"/>
        <v>Sep</v>
      </c>
      <c r="I544" s="51">
        <f t="shared" ca="1" si="25"/>
        <v>17</v>
      </c>
      <c r="J544" s="52"/>
      <c r="K544" s="53">
        <v>60800</v>
      </c>
      <c r="L544" s="54">
        <v>4</v>
      </c>
      <c r="M544" s="59">
        <f t="shared" si="26"/>
        <v>60800</v>
      </c>
      <c r="N544" s="100"/>
      <c r="O544" s="45"/>
      <c r="P544" s="39"/>
      <c r="Q544" s="39"/>
      <c r="R544" s="39"/>
      <c r="S544" s="39"/>
      <c r="T544" s="39"/>
      <c r="U544" s="39"/>
      <c r="V544" s="39"/>
      <c r="W544" s="39"/>
      <c r="X544" s="39"/>
      <c r="Y544" s="39"/>
      <c r="Z544" s="39"/>
      <c r="AA544" s="39"/>
      <c r="AB544" s="39"/>
      <c r="AC544" s="39"/>
      <c r="AD544" s="39"/>
      <c r="AE544" s="39"/>
      <c r="AF544" s="39"/>
      <c r="AG544" s="39"/>
      <c r="AH544" s="39"/>
    </row>
    <row r="545" spans="1:34" s="84" customFormat="1" x14ac:dyDescent="0.25">
      <c r="A545" s="39" t="s">
        <v>871</v>
      </c>
      <c r="B545" s="46" t="s">
        <v>285</v>
      </c>
      <c r="C545" s="39" t="s">
        <v>856</v>
      </c>
      <c r="D545" s="102">
        <v>489667166</v>
      </c>
      <c r="E545" s="102">
        <v>2522238881</v>
      </c>
      <c r="F545" s="39" t="s">
        <v>256</v>
      </c>
      <c r="G545" s="81">
        <f>35861+(364+182)</f>
        <v>36407</v>
      </c>
      <c r="H545" s="50" t="str">
        <f t="shared" si="24"/>
        <v>Sep</v>
      </c>
      <c r="I545" s="51">
        <f t="shared" ca="1" si="25"/>
        <v>17</v>
      </c>
      <c r="J545" s="52" t="s">
        <v>262</v>
      </c>
      <c r="K545" s="53">
        <v>45880</v>
      </c>
      <c r="L545" s="54">
        <v>5</v>
      </c>
      <c r="M545" s="59">
        <f t="shared" si="26"/>
        <v>45880</v>
      </c>
      <c r="N545" s="100"/>
      <c r="O545" s="45"/>
      <c r="P545" s="39"/>
      <c r="Q545" s="39"/>
      <c r="R545" s="39"/>
      <c r="S545" s="39"/>
      <c r="T545" s="39"/>
      <c r="U545" s="39"/>
      <c r="V545" s="39"/>
      <c r="W545" s="39"/>
      <c r="X545" s="39"/>
      <c r="Y545" s="39"/>
      <c r="Z545" s="39"/>
      <c r="AA545" s="39"/>
      <c r="AB545" s="39"/>
      <c r="AC545" s="39"/>
      <c r="AD545" s="39"/>
      <c r="AE545" s="39"/>
      <c r="AF545" s="39"/>
      <c r="AG545" s="39"/>
      <c r="AH545" s="39"/>
    </row>
    <row r="546" spans="1:34" x14ac:dyDescent="0.25">
      <c r="A546" s="39" t="s">
        <v>515</v>
      </c>
      <c r="B546" s="46" t="s">
        <v>280</v>
      </c>
      <c r="C546" s="39" t="s">
        <v>465</v>
      </c>
      <c r="D546" s="102">
        <v>177332873</v>
      </c>
      <c r="E546" s="102">
        <v>9195915044</v>
      </c>
      <c r="F546" s="39" t="s">
        <v>256</v>
      </c>
      <c r="G546" s="81">
        <f>35867+(364+182)</f>
        <v>36413</v>
      </c>
      <c r="H546" s="50" t="str">
        <f t="shared" si="24"/>
        <v>Sep</v>
      </c>
      <c r="I546" s="51">
        <f t="shared" ca="1" si="25"/>
        <v>17</v>
      </c>
      <c r="J546" s="52" t="s">
        <v>257</v>
      </c>
      <c r="K546" s="53">
        <v>40060</v>
      </c>
      <c r="L546" s="54">
        <v>3</v>
      </c>
      <c r="M546" s="59">
        <f t="shared" si="26"/>
        <v>40060</v>
      </c>
    </row>
    <row r="547" spans="1:34" x14ac:dyDescent="0.25">
      <c r="A547" s="39" t="s">
        <v>435</v>
      </c>
      <c r="B547" s="46" t="s">
        <v>280</v>
      </c>
      <c r="C547" s="39" t="s">
        <v>417</v>
      </c>
      <c r="D547" s="102">
        <v>525507320</v>
      </c>
      <c r="E547" s="102">
        <v>2523938131</v>
      </c>
      <c r="F547" s="39" t="s">
        <v>256</v>
      </c>
      <c r="G547" s="81">
        <f>35868+(364+182)</f>
        <v>36414</v>
      </c>
      <c r="H547" s="50" t="str">
        <f t="shared" si="24"/>
        <v>Sep</v>
      </c>
      <c r="I547" s="51">
        <f t="shared" ca="1" si="25"/>
        <v>17</v>
      </c>
      <c r="J547" s="52" t="s">
        <v>276</v>
      </c>
      <c r="K547" s="53">
        <v>39680</v>
      </c>
      <c r="L547" s="54">
        <v>5</v>
      </c>
      <c r="M547" s="59">
        <f t="shared" si="26"/>
        <v>39680</v>
      </c>
    </row>
    <row r="548" spans="1:34" x14ac:dyDescent="0.25">
      <c r="A548" s="39" t="s">
        <v>571</v>
      </c>
      <c r="B548" s="46" t="s">
        <v>285</v>
      </c>
      <c r="C548" s="39" t="s">
        <v>465</v>
      </c>
      <c r="D548" s="102">
        <v>594680949</v>
      </c>
      <c r="E548" s="102">
        <v>9192375580</v>
      </c>
      <c r="F548" s="39" t="s">
        <v>261</v>
      </c>
      <c r="G548" s="81">
        <f>35876+(364+182)</f>
        <v>36422</v>
      </c>
      <c r="H548" s="50" t="str">
        <f t="shared" si="24"/>
        <v>Sep</v>
      </c>
      <c r="I548" s="51">
        <f t="shared" ca="1" si="25"/>
        <v>17</v>
      </c>
      <c r="J548" s="52" t="s">
        <v>283</v>
      </c>
      <c r="K548" s="53">
        <v>17270</v>
      </c>
      <c r="L548" s="54">
        <v>5</v>
      </c>
      <c r="M548" s="59">
        <f t="shared" si="26"/>
        <v>17270</v>
      </c>
    </row>
    <row r="549" spans="1:34" x14ac:dyDescent="0.25">
      <c r="A549" s="39" t="s">
        <v>915</v>
      </c>
      <c r="B549" s="46" t="s">
        <v>285</v>
      </c>
      <c r="C549" s="39" t="s">
        <v>856</v>
      </c>
      <c r="D549" s="102">
        <v>393973492</v>
      </c>
      <c r="E549" s="102">
        <v>2522869792</v>
      </c>
      <c r="F549" s="39" t="s">
        <v>261</v>
      </c>
      <c r="G549" s="81">
        <f>35877+(364+182)</f>
        <v>36423</v>
      </c>
      <c r="H549" s="50" t="str">
        <f t="shared" si="24"/>
        <v>Sep</v>
      </c>
      <c r="I549" s="51">
        <f t="shared" ca="1" si="25"/>
        <v>17</v>
      </c>
      <c r="J549" s="52" t="s">
        <v>276</v>
      </c>
      <c r="K549" s="53">
        <v>47350</v>
      </c>
      <c r="L549" s="54">
        <v>1</v>
      </c>
      <c r="M549" s="59">
        <f t="shared" si="26"/>
        <v>47350</v>
      </c>
    </row>
    <row r="550" spans="1:34" x14ac:dyDescent="0.25">
      <c r="A550" s="39" t="s">
        <v>552</v>
      </c>
      <c r="B550" s="46" t="s">
        <v>285</v>
      </c>
      <c r="C550" s="39" t="s">
        <v>465</v>
      </c>
      <c r="D550" s="102">
        <v>559376297</v>
      </c>
      <c r="E550" s="102">
        <v>9194888110</v>
      </c>
      <c r="F550" s="39" t="s">
        <v>256</v>
      </c>
      <c r="G550" s="81">
        <f>35885+(364+182)</f>
        <v>36431</v>
      </c>
      <c r="H550" s="50" t="str">
        <f t="shared" si="24"/>
        <v>Sep</v>
      </c>
      <c r="I550" s="51">
        <f t="shared" ca="1" si="25"/>
        <v>17</v>
      </c>
      <c r="J550" s="52" t="s">
        <v>257</v>
      </c>
      <c r="K550" s="53">
        <v>35820</v>
      </c>
      <c r="L550" s="54">
        <v>2</v>
      </c>
      <c r="M550" s="59">
        <f t="shared" si="26"/>
        <v>35820</v>
      </c>
    </row>
    <row r="551" spans="1:34" x14ac:dyDescent="0.25">
      <c r="A551" s="39" t="s">
        <v>286</v>
      </c>
      <c r="B551" s="46" t="s">
        <v>245</v>
      </c>
      <c r="C551" s="39" t="s">
        <v>272</v>
      </c>
      <c r="D551" s="102">
        <v>767961463</v>
      </c>
      <c r="E551" s="102">
        <v>2523646601</v>
      </c>
      <c r="F551" s="39" t="s">
        <v>247</v>
      </c>
      <c r="G551" s="81">
        <f>36231+(364+182)</f>
        <v>36777</v>
      </c>
      <c r="H551" s="50" t="str">
        <f t="shared" si="24"/>
        <v>Sep</v>
      </c>
      <c r="I551" s="51">
        <f t="shared" ca="1" si="25"/>
        <v>16</v>
      </c>
      <c r="J551" s="52"/>
      <c r="K551" s="53">
        <v>76690</v>
      </c>
      <c r="L551" s="54">
        <v>3</v>
      </c>
      <c r="M551" s="59">
        <f t="shared" si="26"/>
        <v>76690</v>
      </c>
      <c r="O551" s="104"/>
    </row>
    <row r="552" spans="1:34" x14ac:dyDescent="0.25">
      <c r="A552" s="39" t="s">
        <v>780</v>
      </c>
      <c r="B552" s="46" t="s">
        <v>285</v>
      </c>
      <c r="C552" s="39" t="s">
        <v>767</v>
      </c>
      <c r="D552" s="102">
        <v>938723321</v>
      </c>
      <c r="E552" s="102">
        <v>9196456972</v>
      </c>
      <c r="F552" s="39" t="s">
        <v>247</v>
      </c>
      <c r="G552" s="81">
        <f>36241+(364+182)</f>
        <v>36787</v>
      </c>
      <c r="H552" s="50" t="str">
        <f t="shared" si="24"/>
        <v>Sep</v>
      </c>
      <c r="I552" s="51">
        <f t="shared" ca="1" si="25"/>
        <v>16</v>
      </c>
      <c r="J552" s="52"/>
      <c r="K552" s="53">
        <v>89640</v>
      </c>
      <c r="L552" s="54">
        <v>4</v>
      </c>
      <c r="M552" s="59">
        <f t="shared" si="26"/>
        <v>89640</v>
      </c>
    </row>
    <row r="553" spans="1:34" x14ac:dyDescent="0.25">
      <c r="A553" s="39" t="s">
        <v>649</v>
      </c>
      <c r="B553" s="46" t="s">
        <v>245</v>
      </c>
      <c r="C553" s="39" t="s">
        <v>626</v>
      </c>
      <c r="D553" s="102">
        <v>372693786</v>
      </c>
      <c r="E553" s="102">
        <v>9198211050</v>
      </c>
      <c r="F553" s="39" t="s">
        <v>261</v>
      </c>
      <c r="G553" s="81">
        <f>36592+(364+182)</f>
        <v>37138</v>
      </c>
      <c r="H553" s="50" t="str">
        <f t="shared" si="24"/>
        <v>Sep</v>
      </c>
      <c r="I553" s="51">
        <f t="shared" ca="1" si="25"/>
        <v>15</v>
      </c>
      <c r="J553" s="52" t="s">
        <v>262</v>
      </c>
      <c r="K553" s="53">
        <v>31110</v>
      </c>
      <c r="L553" s="54">
        <v>1</v>
      </c>
      <c r="M553" s="59">
        <f t="shared" si="26"/>
        <v>31110</v>
      </c>
    </row>
    <row r="554" spans="1:34" x14ac:dyDescent="0.25">
      <c r="A554" s="39" t="s">
        <v>853</v>
      </c>
      <c r="B554" s="46" t="s">
        <v>271</v>
      </c>
      <c r="C554" s="39" t="s">
        <v>767</v>
      </c>
      <c r="D554" s="102">
        <v>505680981</v>
      </c>
      <c r="E554" s="102">
        <v>2527557761</v>
      </c>
      <c r="F554" s="39" t="s">
        <v>256</v>
      </c>
      <c r="G554" s="81">
        <f>36592+(364+182)</f>
        <v>37138</v>
      </c>
      <c r="H554" s="50" t="str">
        <f t="shared" si="24"/>
        <v>Sep</v>
      </c>
      <c r="I554" s="51">
        <f t="shared" ca="1" si="25"/>
        <v>15</v>
      </c>
      <c r="J554" s="52" t="s">
        <v>257</v>
      </c>
      <c r="K554" s="53">
        <v>29130</v>
      </c>
      <c r="L554" s="54">
        <v>1</v>
      </c>
      <c r="M554" s="59">
        <f t="shared" si="26"/>
        <v>29130</v>
      </c>
    </row>
    <row r="555" spans="1:34" x14ac:dyDescent="0.25">
      <c r="A555" s="39" t="s">
        <v>673</v>
      </c>
      <c r="B555" s="46" t="s">
        <v>280</v>
      </c>
      <c r="C555" s="39" t="s">
        <v>626</v>
      </c>
      <c r="D555" s="102">
        <v>168147877</v>
      </c>
      <c r="E555" s="102">
        <v>9196530760</v>
      </c>
      <c r="F555" s="39" t="s">
        <v>261</v>
      </c>
      <c r="G555" s="81">
        <f>36595+(364+182)</f>
        <v>37141</v>
      </c>
      <c r="H555" s="50" t="str">
        <f t="shared" si="24"/>
        <v>Sep</v>
      </c>
      <c r="I555" s="51">
        <f t="shared" ca="1" si="25"/>
        <v>15</v>
      </c>
      <c r="J555" s="52" t="s">
        <v>276</v>
      </c>
      <c r="K555" s="53">
        <v>15910</v>
      </c>
      <c r="L555" s="54">
        <v>3</v>
      </c>
      <c r="M555" s="59">
        <f t="shared" si="26"/>
        <v>15910</v>
      </c>
    </row>
    <row r="556" spans="1:34" x14ac:dyDescent="0.25">
      <c r="A556" s="39" t="s">
        <v>971</v>
      </c>
      <c r="B556" s="46" t="s">
        <v>266</v>
      </c>
      <c r="C556" s="39" t="s">
        <v>930</v>
      </c>
      <c r="D556" s="102">
        <v>971128623</v>
      </c>
      <c r="E556" s="102">
        <v>9194375399</v>
      </c>
      <c r="F556" s="39" t="s">
        <v>247</v>
      </c>
      <c r="G556" s="81">
        <f>36595+(364+182)</f>
        <v>37141</v>
      </c>
      <c r="H556" s="50" t="str">
        <f t="shared" si="24"/>
        <v>Sep</v>
      </c>
      <c r="I556" s="51">
        <f t="shared" ca="1" si="25"/>
        <v>15</v>
      </c>
      <c r="J556" s="52"/>
      <c r="K556" s="53">
        <v>25530</v>
      </c>
      <c r="L556" s="54">
        <v>3</v>
      </c>
      <c r="M556" s="59">
        <f t="shared" si="26"/>
        <v>25530</v>
      </c>
      <c r="P556" s="75"/>
      <c r="Q556" s="75"/>
    </row>
    <row r="557" spans="1:34" x14ac:dyDescent="0.25">
      <c r="A557" s="39" t="s">
        <v>459</v>
      </c>
      <c r="B557" s="46" t="s">
        <v>285</v>
      </c>
      <c r="C557" s="39" t="s">
        <v>456</v>
      </c>
      <c r="D557" s="102">
        <v>875920441</v>
      </c>
      <c r="E557" s="102">
        <v>9191715499</v>
      </c>
      <c r="F557" s="39" t="s">
        <v>261</v>
      </c>
      <c r="G557" s="81">
        <f>36959+(364+182)</f>
        <v>37505</v>
      </c>
      <c r="H557" s="50" t="str">
        <f t="shared" si="24"/>
        <v>Sep</v>
      </c>
      <c r="I557" s="51">
        <f t="shared" ca="1" si="25"/>
        <v>14</v>
      </c>
      <c r="J557" s="52" t="s">
        <v>276</v>
      </c>
      <c r="K557" s="53">
        <v>51800</v>
      </c>
      <c r="L557" s="54">
        <v>1</v>
      </c>
      <c r="M557" s="59">
        <f t="shared" si="26"/>
        <v>51800</v>
      </c>
    </row>
    <row r="558" spans="1:34" x14ac:dyDescent="0.25">
      <c r="A558" s="39" t="s">
        <v>600</v>
      </c>
      <c r="B558" s="46" t="s">
        <v>271</v>
      </c>
      <c r="C558" s="39" t="s">
        <v>465</v>
      </c>
      <c r="D558" s="102">
        <v>468053610</v>
      </c>
      <c r="E558" s="102">
        <v>2525344270</v>
      </c>
      <c r="F558" s="39" t="s">
        <v>256</v>
      </c>
      <c r="G558" s="81">
        <f>36963+(364+182)</f>
        <v>37509</v>
      </c>
      <c r="H558" s="50" t="str">
        <f t="shared" si="24"/>
        <v>Sep</v>
      </c>
      <c r="I558" s="51">
        <f t="shared" ca="1" si="25"/>
        <v>14</v>
      </c>
      <c r="J558" s="52" t="s">
        <v>283</v>
      </c>
      <c r="K558" s="53">
        <v>69080</v>
      </c>
      <c r="L558" s="54">
        <v>3</v>
      </c>
      <c r="M558" s="59">
        <f t="shared" si="26"/>
        <v>69080</v>
      </c>
    </row>
    <row r="559" spans="1:34" x14ac:dyDescent="0.25">
      <c r="A559" s="39" t="s">
        <v>825</v>
      </c>
      <c r="B559" s="46" t="s">
        <v>285</v>
      </c>
      <c r="C559" s="39" t="s">
        <v>767</v>
      </c>
      <c r="D559" s="102">
        <v>160662505</v>
      </c>
      <c r="E559" s="102">
        <v>2526427045</v>
      </c>
      <c r="F559" s="39" t="s">
        <v>247</v>
      </c>
      <c r="G559" s="81">
        <f>36980+(364+182)</f>
        <v>37526</v>
      </c>
      <c r="H559" s="50" t="str">
        <f t="shared" si="24"/>
        <v>Sep</v>
      </c>
      <c r="I559" s="51">
        <f t="shared" ca="1" si="25"/>
        <v>14</v>
      </c>
      <c r="J559" s="52"/>
      <c r="K559" s="53">
        <v>61580</v>
      </c>
      <c r="L559" s="54">
        <v>3</v>
      </c>
      <c r="M559" s="59">
        <f t="shared" si="26"/>
        <v>61580</v>
      </c>
      <c r="P559" s="75"/>
      <c r="Q559" s="75"/>
    </row>
    <row r="560" spans="1:34" x14ac:dyDescent="0.25">
      <c r="A560" s="39" t="s">
        <v>612</v>
      </c>
      <c r="B560" s="46" t="s">
        <v>285</v>
      </c>
      <c r="C560" s="39" t="s">
        <v>465</v>
      </c>
      <c r="D560" s="102">
        <v>903618594</v>
      </c>
      <c r="E560" s="102">
        <v>9194733288</v>
      </c>
      <c r="F560" s="39" t="s">
        <v>256</v>
      </c>
      <c r="G560" s="81">
        <f>37320+(364+182)</f>
        <v>37866</v>
      </c>
      <c r="H560" s="50" t="str">
        <f t="shared" si="24"/>
        <v>Sep</v>
      </c>
      <c r="I560" s="51">
        <f t="shared" ca="1" si="25"/>
        <v>13</v>
      </c>
      <c r="J560" s="52" t="s">
        <v>262</v>
      </c>
      <c r="K560" s="53">
        <v>54230</v>
      </c>
      <c r="L560" s="54">
        <v>5</v>
      </c>
      <c r="M560" s="59">
        <f t="shared" si="26"/>
        <v>54230</v>
      </c>
    </row>
    <row r="561" spans="1:17" x14ac:dyDescent="0.25">
      <c r="A561" s="39" t="s">
        <v>375</v>
      </c>
      <c r="B561" s="46" t="s">
        <v>285</v>
      </c>
      <c r="C561" s="39" t="s">
        <v>372</v>
      </c>
      <c r="D561" s="102">
        <v>272036635</v>
      </c>
      <c r="E561" s="102">
        <v>2521656242</v>
      </c>
      <c r="F561" s="39" t="s">
        <v>256</v>
      </c>
      <c r="G561" s="81">
        <f>37337+(364+182)</f>
        <v>37883</v>
      </c>
      <c r="H561" s="50" t="str">
        <f t="shared" si="24"/>
        <v>Sep</v>
      </c>
      <c r="I561" s="51">
        <f t="shared" ca="1" si="25"/>
        <v>13</v>
      </c>
      <c r="J561" s="52" t="s">
        <v>257</v>
      </c>
      <c r="K561" s="53">
        <v>86530</v>
      </c>
      <c r="L561" s="54">
        <v>1</v>
      </c>
      <c r="M561" s="59">
        <f t="shared" si="26"/>
        <v>86530</v>
      </c>
      <c r="P561" s="75"/>
      <c r="Q561" s="75"/>
    </row>
    <row r="562" spans="1:17" x14ac:dyDescent="0.25">
      <c r="A562" s="39" t="s">
        <v>910</v>
      </c>
      <c r="B562" s="46" t="s">
        <v>245</v>
      </c>
      <c r="C562" s="39" t="s">
        <v>856</v>
      </c>
      <c r="D562" s="102">
        <v>649292883</v>
      </c>
      <c r="E562" s="102">
        <v>9198413896</v>
      </c>
      <c r="F562" s="39" t="s">
        <v>256</v>
      </c>
      <c r="G562" s="81">
        <f>37691+(364+182)</f>
        <v>38237</v>
      </c>
      <c r="H562" s="50" t="str">
        <f t="shared" si="24"/>
        <v>Sep</v>
      </c>
      <c r="I562" s="51">
        <f t="shared" ca="1" si="25"/>
        <v>12</v>
      </c>
      <c r="J562" s="52" t="s">
        <v>283</v>
      </c>
      <c r="K562" s="53">
        <v>31910</v>
      </c>
      <c r="L562" s="54">
        <v>5</v>
      </c>
      <c r="M562" s="59">
        <f t="shared" si="26"/>
        <v>31910</v>
      </c>
    </row>
    <row r="563" spans="1:17" x14ac:dyDescent="0.25">
      <c r="A563" s="39" t="s">
        <v>334</v>
      </c>
      <c r="B563" s="46" t="s">
        <v>245</v>
      </c>
      <c r="C563" s="39" t="s">
        <v>312</v>
      </c>
      <c r="D563" s="102">
        <v>733413074</v>
      </c>
      <c r="E563" s="102">
        <v>9192224790</v>
      </c>
      <c r="F563" s="39" t="s">
        <v>247</v>
      </c>
      <c r="G563" s="81">
        <f>38424+(364+182)</f>
        <v>38970</v>
      </c>
      <c r="H563" s="50" t="str">
        <f t="shared" si="24"/>
        <v>Sep</v>
      </c>
      <c r="I563" s="51">
        <f t="shared" ca="1" si="25"/>
        <v>10</v>
      </c>
      <c r="J563" s="52"/>
      <c r="K563" s="53">
        <v>83070</v>
      </c>
      <c r="L563" s="54">
        <v>3</v>
      </c>
      <c r="M563" s="59">
        <f t="shared" si="26"/>
        <v>83070</v>
      </c>
    </row>
    <row r="564" spans="1:17" x14ac:dyDescent="0.25">
      <c r="A564" s="39" t="s">
        <v>509</v>
      </c>
      <c r="B564" s="46" t="s">
        <v>280</v>
      </c>
      <c r="C564" s="39" t="s">
        <v>465</v>
      </c>
      <c r="D564" s="102">
        <v>575270646</v>
      </c>
      <c r="E564" s="102">
        <v>9197819805</v>
      </c>
      <c r="F564" s="39" t="s">
        <v>256</v>
      </c>
      <c r="G564" s="81">
        <f>38802+(364+182)</f>
        <v>39348</v>
      </c>
      <c r="H564" s="50" t="str">
        <f t="shared" si="24"/>
        <v>Sep</v>
      </c>
      <c r="I564" s="51">
        <f t="shared" ca="1" si="25"/>
        <v>9</v>
      </c>
      <c r="J564" s="52" t="s">
        <v>257</v>
      </c>
      <c r="K564" s="53">
        <v>46220</v>
      </c>
      <c r="L564" s="54">
        <v>2</v>
      </c>
      <c r="M564" s="59">
        <f t="shared" si="26"/>
        <v>46220</v>
      </c>
    </row>
    <row r="565" spans="1:17" x14ac:dyDescent="0.25">
      <c r="A565" s="39" t="s">
        <v>479</v>
      </c>
      <c r="B565" s="46" t="s">
        <v>271</v>
      </c>
      <c r="C565" s="39" t="s">
        <v>465</v>
      </c>
      <c r="D565" s="102">
        <v>415299442</v>
      </c>
      <c r="E565" s="102">
        <v>2521408985</v>
      </c>
      <c r="F565" s="39" t="s">
        <v>256</v>
      </c>
      <c r="G565" s="81">
        <f>39150+(364+182)</f>
        <v>39696</v>
      </c>
      <c r="H565" s="50" t="str">
        <f t="shared" si="24"/>
        <v>Sep</v>
      </c>
      <c r="I565" s="51">
        <f t="shared" ca="1" si="25"/>
        <v>8</v>
      </c>
      <c r="J565" s="52" t="s">
        <v>257</v>
      </c>
      <c r="K565" s="53">
        <v>69320</v>
      </c>
      <c r="L565" s="54">
        <v>3</v>
      </c>
      <c r="M565" s="59">
        <f t="shared" si="26"/>
        <v>69320</v>
      </c>
    </row>
    <row r="566" spans="1:17" x14ac:dyDescent="0.25">
      <c r="A566" s="45" t="s">
        <v>275</v>
      </c>
      <c r="B566" s="46" t="s">
        <v>245</v>
      </c>
      <c r="C566" s="45" t="s">
        <v>272</v>
      </c>
      <c r="D566" s="106">
        <v>297852686</v>
      </c>
      <c r="E566" s="106">
        <v>2525832994</v>
      </c>
      <c r="F566" s="45" t="s">
        <v>256</v>
      </c>
      <c r="G566" s="105">
        <f>39158+(364+182)</f>
        <v>39704</v>
      </c>
      <c r="H566" s="50" t="str">
        <f t="shared" si="24"/>
        <v>Sep</v>
      </c>
      <c r="I566" s="51">
        <f t="shared" ca="1" si="25"/>
        <v>8</v>
      </c>
      <c r="J566" s="52" t="s">
        <v>276</v>
      </c>
      <c r="K566" s="53">
        <v>58290</v>
      </c>
      <c r="L566" s="54">
        <v>5</v>
      </c>
      <c r="M566" s="59">
        <f t="shared" si="26"/>
        <v>58290</v>
      </c>
      <c r="O566" s="104"/>
    </row>
    <row r="567" spans="1:17" x14ac:dyDescent="0.25">
      <c r="A567" s="39" t="s">
        <v>866</v>
      </c>
      <c r="B567" s="46" t="s">
        <v>285</v>
      </c>
      <c r="C567" s="39" t="s">
        <v>856</v>
      </c>
      <c r="D567" s="102">
        <v>932553359</v>
      </c>
      <c r="E567" s="102">
        <v>9192376215</v>
      </c>
      <c r="F567" s="39" t="s">
        <v>247</v>
      </c>
      <c r="G567" s="81">
        <f>39174+(364+182)</f>
        <v>39720</v>
      </c>
      <c r="H567" s="50" t="str">
        <f t="shared" si="24"/>
        <v>Sep</v>
      </c>
      <c r="I567" s="51">
        <f t="shared" ca="1" si="25"/>
        <v>8</v>
      </c>
      <c r="J567" s="52"/>
      <c r="K567" s="53">
        <v>43320</v>
      </c>
      <c r="L567" s="54">
        <v>5</v>
      </c>
      <c r="M567" s="59">
        <f t="shared" si="26"/>
        <v>43320</v>
      </c>
    </row>
    <row r="568" spans="1:17" x14ac:dyDescent="0.25">
      <c r="A568" s="39" t="s">
        <v>892</v>
      </c>
      <c r="B568" s="46" t="s">
        <v>280</v>
      </c>
      <c r="C568" s="39" t="s">
        <v>856</v>
      </c>
      <c r="D568" s="102">
        <v>491830893</v>
      </c>
      <c r="E568" s="102">
        <v>2524713634</v>
      </c>
      <c r="F568" s="39" t="s">
        <v>256</v>
      </c>
      <c r="G568" s="81">
        <f>39532+(364+182)</f>
        <v>40078</v>
      </c>
      <c r="H568" s="50" t="str">
        <f t="shared" si="24"/>
        <v>Sep</v>
      </c>
      <c r="I568" s="51">
        <f t="shared" ca="1" si="25"/>
        <v>7</v>
      </c>
      <c r="J568" s="52" t="s">
        <v>283</v>
      </c>
      <c r="K568" s="53">
        <v>23190</v>
      </c>
      <c r="L568" s="54">
        <v>5</v>
      </c>
      <c r="M568" s="59">
        <f t="shared" si="26"/>
        <v>23190</v>
      </c>
    </row>
    <row r="569" spans="1:17" x14ac:dyDescent="0.25">
      <c r="A569" s="39" t="s">
        <v>648</v>
      </c>
      <c r="B569" s="46" t="s">
        <v>266</v>
      </c>
      <c r="C569" s="39" t="s">
        <v>626</v>
      </c>
      <c r="D569" s="102">
        <v>506165137</v>
      </c>
      <c r="E569" s="102">
        <v>9193613417</v>
      </c>
      <c r="F569" s="39" t="s">
        <v>256</v>
      </c>
      <c r="G569" s="81">
        <f>39537+(364+182)</f>
        <v>40083</v>
      </c>
      <c r="H569" s="50" t="str">
        <f t="shared" si="24"/>
        <v>Sep</v>
      </c>
      <c r="I569" s="51">
        <f t="shared" ca="1" si="25"/>
        <v>7</v>
      </c>
      <c r="J569" s="52" t="s">
        <v>283</v>
      </c>
      <c r="K569" s="53">
        <v>44150</v>
      </c>
      <c r="L569" s="54">
        <v>4</v>
      </c>
      <c r="M569" s="59">
        <f t="shared" si="26"/>
        <v>44150</v>
      </c>
    </row>
    <row r="570" spans="1:17" x14ac:dyDescent="0.25">
      <c r="A570" s="39" t="s">
        <v>351</v>
      </c>
      <c r="B570" s="46" t="s">
        <v>271</v>
      </c>
      <c r="C570" s="39" t="s">
        <v>312</v>
      </c>
      <c r="D570" s="102">
        <v>873100939</v>
      </c>
      <c r="E570" s="102">
        <v>9191259179</v>
      </c>
      <c r="F570" s="39" t="s">
        <v>256</v>
      </c>
      <c r="G570" s="81">
        <f>39539+(364+182)</f>
        <v>40085</v>
      </c>
      <c r="H570" s="50" t="str">
        <f t="shared" si="24"/>
        <v>Sep</v>
      </c>
      <c r="I570" s="51">
        <f t="shared" ca="1" si="25"/>
        <v>7</v>
      </c>
      <c r="J570" s="52" t="s">
        <v>257</v>
      </c>
      <c r="K570" s="53">
        <v>41490</v>
      </c>
      <c r="L570" s="54">
        <v>5</v>
      </c>
      <c r="M570" s="59">
        <f t="shared" si="26"/>
        <v>41490</v>
      </c>
    </row>
    <row r="571" spans="1:17" x14ac:dyDescent="0.25">
      <c r="A571" s="39" t="s">
        <v>788</v>
      </c>
      <c r="B571" s="46" t="s">
        <v>285</v>
      </c>
      <c r="C571" s="39" t="s">
        <v>767</v>
      </c>
      <c r="D571" s="102">
        <v>953109212</v>
      </c>
      <c r="E571" s="102">
        <v>9191664940</v>
      </c>
      <c r="F571" s="39" t="s">
        <v>256</v>
      </c>
      <c r="G571" s="81">
        <f>39892+(364+182)</f>
        <v>40438</v>
      </c>
      <c r="H571" s="50" t="str">
        <f t="shared" si="24"/>
        <v>Sep</v>
      </c>
      <c r="I571" s="51">
        <f t="shared" ca="1" si="25"/>
        <v>6</v>
      </c>
      <c r="J571" s="52" t="s">
        <v>267</v>
      </c>
      <c r="K571" s="53">
        <v>59150</v>
      </c>
      <c r="L571" s="54">
        <v>4</v>
      </c>
      <c r="M571" s="59">
        <f t="shared" si="26"/>
        <v>59150</v>
      </c>
    </row>
    <row r="572" spans="1:17" x14ac:dyDescent="0.25">
      <c r="A572" s="39" t="s">
        <v>640</v>
      </c>
      <c r="B572" s="46" t="s">
        <v>271</v>
      </c>
      <c r="C572" s="39" t="s">
        <v>626</v>
      </c>
      <c r="D572" s="102">
        <v>999156829</v>
      </c>
      <c r="E572" s="102">
        <v>2521401774</v>
      </c>
      <c r="F572" s="39" t="s">
        <v>256</v>
      </c>
      <c r="G572" s="81">
        <f>39901+(364+182)</f>
        <v>40447</v>
      </c>
      <c r="H572" s="50" t="str">
        <f t="shared" si="24"/>
        <v>Sep</v>
      </c>
      <c r="I572" s="51">
        <f t="shared" ca="1" si="25"/>
        <v>6</v>
      </c>
      <c r="J572" s="52" t="s">
        <v>257</v>
      </c>
      <c r="K572" s="53">
        <v>33970</v>
      </c>
      <c r="L572" s="54">
        <v>4</v>
      </c>
      <c r="M572" s="59">
        <f t="shared" si="26"/>
        <v>33970</v>
      </c>
      <c r="P572" s="75"/>
      <c r="Q572" s="75"/>
    </row>
    <row r="573" spans="1:17" x14ac:dyDescent="0.25">
      <c r="A573" s="39" t="s">
        <v>606</v>
      </c>
      <c r="B573" s="46" t="s">
        <v>285</v>
      </c>
      <c r="C573" s="39" t="s">
        <v>465</v>
      </c>
      <c r="D573" s="102">
        <v>876777922</v>
      </c>
      <c r="E573" s="102">
        <v>2527358099</v>
      </c>
      <c r="F573" s="39" t="s">
        <v>247</v>
      </c>
      <c r="G573" s="103">
        <f>39903+(364+182)</f>
        <v>40449</v>
      </c>
      <c r="H573" s="50" t="str">
        <f t="shared" si="24"/>
        <v>Sep</v>
      </c>
      <c r="I573" s="51">
        <f t="shared" ca="1" si="25"/>
        <v>6</v>
      </c>
      <c r="J573" s="52"/>
      <c r="K573" s="53">
        <v>88840</v>
      </c>
      <c r="L573" s="54">
        <v>5</v>
      </c>
      <c r="M573" s="59">
        <f t="shared" si="26"/>
        <v>88840</v>
      </c>
    </row>
    <row r="574" spans="1:17" x14ac:dyDescent="0.25">
      <c r="A574" s="39" t="s">
        <v>753</v>
      </c>
      <c r="B574" s="46" t="s">
        <v>285</v>
      </c>
      <c r="C574" s="39" t="s">
        <v>750</v>
      </c>
      <c r="D574" s="102">
        <v>285295419</v>
      </c>
      <c r="E574" s="102">
        <v>9197904981</v>
      </c>
      <c r="F574" s="39" t="s">
        <v>252</v>
      </c>
      <c r="G574" s="81">
        <f>32612+(364+182)</f>
        <v>33158</v>
      </c>
      <c r="H574" s="50" t="str">
        <f t="shared" si="24"/>
        <v>Oct</v>
      </c>
      <c r="I574" s="51">
        <f t="shared" ca="1" si="25"/>
        <v>26</v>
      </c>
      <c r="J574" s="52"/>
      <c r="K574" s="53">
        <v>33232</v>
      </c>
      <c r="L574" s="54">
        <v>4</v>
      </c>
      <c r="M574" s="59">
        <f t="shared" si="26"/>
        <v>33232</v>
      </c>
    </row>
    <row r="575" spans="1:17" x14ac:dyDescent="0.25">
      <c r="A575" s="39" t="s">
        <v>763</v>
      </c>
      <c r="B575" s="46" t="s">
        <v>245</v>
      </c>
      <c r="C575" s="39" t="s">
        <v>750</v>
      </c>
      <c r="D575" s="102">
        <v>671360508</v>
      </c>
      <c r="E575" s="102">
        <v>2528385730</v>
      </c>
      <c r="F575" s="39" t="s">
        <v>261</v>
      </c>
      <c r="G575" s="108">
        <f>32614+(364+182)</f>
        <v>33160</v>
      </c>
      <c r="H575" s="50" t="str">
        <f t="shared" si="24"/>
        <v>Oct</v>
      </c>
      <c r="I575" s="51">
        <f t="shared" ca="1" si="25"/>
        <v>26</v>
      </c>
      <c r="J575" s="52" t="s">
        <v>262</v>
      </c>
      <c r="K575" s="53">
        <v>39620</v>
      </c>
      <c r="L575" s="54">
        <v>5</v>
      </c>
      <c r="M575" s="59">
        <f t="shared" si="26"/>
        <v>39620</v>
      </c>
    </row>
    <row r="576" spans="1:17" x14ac:dyDescent="0.25">
      <c r="A576" s="39" t="s">
        <v>845</v>
      </c>
      <c r="B576" s="46" t="s">
        <v>245</v>
      </c>
      <c r="C576" s="39" t="s">
        <v>767</v>
      </c>
      <c r="D576" s="102">
        <v>484442635</v>
      </c>
      <c r="E576" s="102">
        <v>2527194901</v>
      </c>
      <c r="F576" s="39" t="s">
        <v>247</v>
      </c>
      <c r="G576" s="81">
        <f>32621+(364+182)</f>
        <v>33167</v>
      </c>
      <c r="H576" s="50" t="str">
        <f t="shared" si="24"/>
        <v>Oct</v>
      </c>
      <c r="I576" s="51">
        <f t="shared" ca="1" si="25"/>
        <v>26</v>
      </c>
      <c r="J576" s="52"/>
      <c r="K576" s="53">
        <v>23020</v>
      </c>
      <c r="L576" s="54">
        <v>4</v>
      </c>
      <c r="M576" s="59">
        <f t="shared" si="26"/>
        <v>23020</v>
      </c>
    </row>
    <row r="577" spans="1:34" x14ac:dyDescent="0.25">
      <c r="A577" s="39" t="s">
        <v>749</v>
      </c>
      <c r="B577" s="46" t="s">
        <v>266</v>
      </c>
      <c r="C577" s="39" t="s">
        <v>750</v>
      </c>
      <c r="D577" s="102">
        <v>834061135</v>
      </c>
      <c r="E577" s="102">
        <v>9198472270</v>
      </c>
      <c r="F577" s="39" t="s">
        <v>256</v>
      </c>
      <c r="G577" s="81">
        <f>32967+(364+182)</f>
        <v>33513</v>
      </c>
      <c r="H577" s="50" t="str">
        <f t="shared" si="24"/>
        <v>Oct</v>
      </c>
      <c r="I577" s="51">
        <f t="shared" ca="1" si="25"/>
        <v>25</v>
      </c>
      <c r="J577" s="52" t="s">
        <v>267</v>
      </c>
      <c r="K577" s="53">
        <v>44560</v>
      </c>
      <c r="L577" s="54">
        <v>2</v>
      </c>
      <c r="M577" s="59">
        <f t="shared" si="26"/>
        <v>44560</v>
      </c>
    </row>
    <row r="578" spans="1:34" s="84" customFormat="1" x14ac:dyDescent="0.25">
      <c r="A578" s="39" t="s">
        <v>823</v>
      </c>
      <c r="B578" s="46" t="s">
        <v>271</v>
      </c>
      <c r="C578" s="39" t="s">
        <v>767</v>
      </c>
      <c r="D578" s="102">
        <v>387131597</v>
      </c>
      <c r="E578" s="102">
        <v>9191963194</v>
      </c>
      <c r="F578" s="39" t="s">
        <v>247</v>
      </c>
      <c r="G578" s="81">
        <f>32969+(364+182)</f>
        <v>33515</v>
      </c>
      <c r="H578" s="50" t="str">
        <f t="shared" si="24"/>
        <v>Oct</v>
      </c>
      <c r="I578" s="51">
        <f t="shared" ca="1" si="25"/>
        <v>25</v>
      </c>
      <c r="J578" s="52"/>
      <c r="K578" s="53">
        <v>52750</v>
      </c>
      <c r="L578" s="54">
        <v>1</v>
      </c>
      <c r="M578" s="59">
        <f t="shared" si="26"/>
        <v>52750</v>
      </c>
      <c r="N578" s="100"/>
      <c r="O578" s="45"/>
      <c r="P578" s="39"/>
      <c r="Q578" s="39"/>
      <c r="R578" s="39"/>
      <c r="S578" s="39"/>
      <c r="T578" s="39"/>
      <c r="U578" s="39"/>
      <c r="V578" s="39"/>
      <c r="W578" s="39"/>
      <c r="X578" s="39"/>
      <c r="Y578" s="39"/>
      <c r="Z578" s="39"/>
      <c r="AA578" s="39"/>
      <c r="AB578" s="39"/>
      <c r="AC578" s="39"/>
      <c r="AD578" s="39"/>
      <c r="AE578" s="39"/>
      <c r="AF578" s="39"/>
      <c r="AG578" s="39"/>
      <c r="AH578" s="39"/>
    </row>
    <row r="579" spans="1:34" s="84" customFormat="1" x14ac:dyDescent="0.25">
      <c r="A579" s="39" t="s">
        <v>808</v>
      </c>
      <c r="B579" s="46" t="s">
        <v>271</v>
      </c>
      <c r="C579" s="39" t="s">
        <v>767</v>
      </c>
      <c r="D579" s="102">
        <v>880747384</v>
      </c>
      <c r="E579" s="102">
        <v>9195220001</v>
      </c>
      <c r="F579" s="39" t="s">
        <v>256</v>
      </c>
      <c r="G579" s="81">
        <f>32980+(364+182)</f>
        <v>33526</v>
      </c>
      <c r="H579" s="50" t="str">
        <f t="shared" ref="H579:H642" si="27">CHOOSE(MONTH(G579),"Jan","Feb","Mar","Apr","May","Jun","Jul","Aug","Sep","Oct","Nov","Dec")</f>
        <v>Oct</v>
      </c>
      <c r="I579" s="51">
        <f t="shared" ref="I579:I642" ca="1" si="28">DATEDIF(G579,TODAY(),"Y")</f>
        <v>25</v>
      </c>
      <c r="J579" s="52" t="s">
        <v>267</v>
      </c>
      <c r="K579" s="53">
        <v>79400</v>
      </c>
      <c r="L579" s="54">
        <v>4</v>
      </c>
      <c r="M579" s="59">
        <f t="shared" ref="M579:M642" si="29">ROUND(K579*P577+K579,0)</f>
        <v>79400</v>
      </c>
      <c r="N579" s="100"/>
      <c r="O579" s="45"/>
      <c r="P579" s="39"/>
      <c r="Q579" s="39"/>
      <c r="R579" s="39"/>
      <c r="S579" s="39"/>
      <c r="T579" s="39"/>
      <c r="U579" s="39"/>
      <c r="V579" s="39"/>
      <c r="W579" s="39"/>
      <c r="X579" s="39"/>
      <c r="Y579" s="39"/>
      <c r="Z579" s="39"/>
      <c r="AA579" s="39"/>
      <c r="AB579" s="39"/>
      <c r="AC579" s="39"/>
      <c r="AD579" s="39"/>
      <c r="AE579" s="39"/>
      <c r="AF579" s="39"/>
      <c r="AG579" s="39"/>
      <c r="AH579" s="39"/>
    </row>
    <row r="580" spans="1:34" s="84" customFormat="1" x14ac:dyDescent="0.25">
      <c r="A580" s="39" t="s">
        <v>343</v>
      </c>
      <c r="B580" s="46" t="s">
        <v>271</v>
      </c>
      <c r="C580" s="39" t="s">
        <v>312</v>
      </c>
      <c r="D580" s="102">
        <v>631405285</v>
      </c>
      <c r="E580" s="102">
        <v>2527491979</v>
      </c>
      <c r="F580" s="39" t="s">
        <v>256</v>
      </c>
      <c r="G580" s="81">
        <f>32981+(364+182)</f>
        <v>33527</v>
      </c>
      <c r="H580" s="50" t="str">
        <f t="shared" si="27"/>
        <v>Oct</v>
      </c>
      <c r="I580" s="51">
        <f t="shared" ca="1" si="28"/>
        <v>25</v>
      </c>
      <c r="J580" s="52" t="s">
        <v>283</v>
      </c>
      <c r="K580" s="53">
        <v>85920</v>
      </c>
      <c r="L580" s="54">
        <v>4</v>
      </c>
      <c r="M580" s="59">
        <f t="shared" si="29"/>
        <v>85920</v>
      </c>
      <c r="N580" s="100"/>
      <c r="O580" s="45"/>
      <c r="P580" s="39"/>
      <c r="Q580" s="39"/>
      <c r="R580" s="39"/>
      <c r="S580" s="39"/>
      <c r="T580" s="39"/>
      <c r="U580" s="39"/>
      <c r="V580" s="39"/>
      <c r="W580" s="39"/>
      <c r="X580" s="39"/>
      <c r="Y580" s="39"/>
      <c r="Z580" s="39"/>
      <c r="AA580" s="39"/>
      <c r="AB580" s="39"/>
      <c r="AC580" s="39"/>
      <c r="AD580" s="39"/>
      <c r="AE580" s="39"/>
      <c r="AF580" s="39"/>
      <c r="AG580" s="39"/>
      <c r="AH580" s="39"/>
    </row>
    <row r="581" spans="1:34" s="84" customFormat="1" x14ac:dyDescent="0.25">
      <c r="A581" s="39" t="s">
        <v>756</v>
      </c>
      <c r="B581" s="46" t="s">
        <v>271</v>
      </c>
      <c r="C581" s="39" t="s">
        <v>750</v>
      </c>
      <c r="D581" s="102">
        <v>444159297</v>
      </c>
      <c r="E581" s="102">
        <v>2522456406</v>
      </c>
      <c r="F581" s="39" t="s">
        <v>256</v>
      </c>
      <c r="G581" s="81">
        <f>32990+(364+182)</f>
        <v>33536</v>
      </c>
      <c r="H581" s="50" t="str">
        <f t="shared" si="27"/>
        <v>Oct</v>
      </c>
      <c r="I581" s="51">
        <f t="shared" ca="1" si="28"/>
        <v>25</v>
      </c>
      <c r="J581" s="52" t="s">
        <v>257</v>
      </c>
      <c r="K581" s="53">
        <v>81530</v>
      </c>
      <c r="L581" s="54">
        <v>5</v>
      </c>
      <c r="M581" s="59">
        <f t="shared" si="29"/>
        <v>81530</v>
      </c>
      <c r="N581" s="100"/>
      <c r="O581" s="45"/>
      <c r="P581" s="39"/>
      <c r="Q581" s="39"/>
      <c r="R581" s="39"/>
      <c r="S581" s="39"/>
      <c r="T581" s="39"/>
      <c r="U581" s="39"/>
      <c r="V581" s="39"/>
      <c r="W581" s="39"/>
      <c r="X581" s="39"/>
      <c r="Y581" s="39"/>
      <c r="Z581" s="39"/>
      <c r="AA581" s="39"/>
      <c r="AB581" s="39"/>
      <c r="AC581" s="39"/>
      <c r="AD581" s="39"/>
      <c r="AE581" s="39"/>
      <c r="AF581" s="39"/>
      <c r="AG581" s="39"/>
      <c r="AH581" s="39"/>
    </row>
    <row r="582" spans="1:34" s="84" customFormat="1" x14ac:dyDescent="0.25">
      <c r="A582" s="39" t="s">
        <v>733</v>
      </c>
      <c r="B582" s="46" t="s">
        <v>285</v>
      </c>
      <c r="C582" s="39" t="s">
        <v>705</v>
      </c>
      <c r="D582" s="102">
        <v>868128171</v>
      </c>
      <c r="E582" s="102">
        <v>2525048978</v>
      </c>
      <c r="F582" s="39" t="s">
        <v>256</v>
      </c>
      <c r="G582" s="81">
        <f>33332+(364+182)</f>
        <v>33878</v>
      </c>
      <c r="H582" s="50" t="str">
        <f t="shared" si="27"/>
        <v>Oct</v>
      </c>
      <c r="I582" s="51">
        <f t="shared" ca="1" si="28"/>
        <v>24</v>
      </c>
      <c r="J582" s="52" t="s">
        <v>276</v>
      </c>
      <c r="K582" s="53">
        <v>75370</v>
      </c>
      <c r="L582" s="54">
        <v>2</v>
      </c>
      <c r="M582" s="59">
        <f t="shared" si="29"/>
        <v>75370</v>
      </c>
      <c r="N582" s="100"/>
      <c r="O582" s="45"/>
      <c r="P582" s="39"/>
      <c r="Q582" s="39"/>
      <c r="R582" s="39"/>
      <c r="S582" s="39"/>
      <c r="T582" s="39"/>
      <c r="U582" s="39"/>
      <c r="V582" s="39"/>
      <c r="W582" s="39"/>
      <c r="X582" s="39"/>
      <c r="Y582" s="39"/>
      <c r="Z582" s="39"/>
      <c r="AA582" s="39"/>
      <c r="AB582" s="39"/>
      <c r="AC582" s="39"/>
      <c r="AD582" s="39"/>
      <c r="AE582" s="39"/>
      <c r="AF582" s="39"/>
      <c r="AG582" s="39"/>
      <c r="AH582" s="39"/>
    </row>
    <row r="583" spans="1:34" s="84" customFormat="1" x14ac:dyDescent="0.25">
      <c r="A583" s="39" t="s">
        <v>736</v>
      </c>
      <c r="B583" s="46" t="s">
        <v>271</v>
      </c>
      <c r="C583" s="39" t="s">
        <v>705</v>
      </c>
      <c r="D583" s="102">
        <v>150132247</v>
      </c>
      <c r="E583" s="102">
        <v>9198561612</v>
      </c>
      <c r="F583" s="39" t="s">
        <v>256</v>
      </c>
      <c r="G583" s="81">
        <f>33335+(364+182)</f>
        <v>33881</v>
      </c>
      <c r="H583" s="50" t="str">
        <f t="shared" si="27"/>
        <v>Oct</v>
      </c>
      <c r="I583" s="51">
        <f t="shared" ca="1" si="28"/>
        <v>24</v>
      </c>
      <c r="J583" s="52" t="s">
        <v>276</v>
      </c>
      <c r="K583" s="53">
        <v>46910</v>
      </c>
      <c r="L583" s="54">
        <v>3</v>
      </c>
      <c r="M583" s="59">
        <f t="shared" si="29"/>
        <v>46910</v>
      </c>
      <c r="N583" s="100"/>
      <c r="O583" s="45"/>
      <c r="P583" s="39"/>
      <c r="Q583" s="39"/>
      <c r="R583" s="39"/>
      <c r="S583" s="39"/>
      <c r="T583" s="39"/>
      <c r="U583" s="39"/>
      <c r="V583" s="39"/>
      <c r="W583" s="39"/>
      <c r="X583" s="39"/>
      <c r="Y583" s="39"/>
      <c r="Z583" s="39"/>
      <c r="AA583" s="39"/>
      <c r="AB583" s="39"/>
      <c r="AC583" s="39"/>
      <c r="AD583" s="39"/>
      <c r="AE583" s="39"/>
      <c r="AF583" s="39"/>
      <c r="AG583" s="39"/>
      <c r="AH583" s="39"/>
    </row>
    <row r="584" spans="1:34" s="84" customFormat="1" x14ac:dyDescent="0.25">
      <c r="A584" s="39" t="s">
        <v>884</v>
      </c>
      <c r="B584" s="46" t="s">
        <v>266</v>
      </c>
      <c r="C584" s="39" t="s">
        <v>856</v>
      </c>
      <c r="D584" s="102">
        <v>878902154</v>
      </c>
      <c r="E584" s="102">
        <v>9191155509</v>
      </c>
      <c r="F584" s="39" t="s">
        <v>261</v>
      </c>
      <c r="G584" s="81">
        <f>33344+(364+182)</f>
        <v>33890</v>
      </c>
      <c r="H584" s="50" t="str">
        <f t="shared" si="27"/>
        <v>Oct</v>
      </c>
      <c r="I584" s="51">
        <f t="shared" ca="1" si="28"/>
        <v>24</v>
      </c>
      <c r="J584" s="52" t="s">
        <v>283</v>
      </c>
      <c r="K584" s="53">
        <v>25885</v>
      </c>
      <c r="L584" s="54">
        <v>5</v>
      </c>
      <c r="M584" s="59">
        <f t="shared" si="29"/>
        <v>25885</v>
      </c>
      <c r="N584" s="100"/>
      <c r="O584" s="45"/>
      <c r="P584" s="39"/>
      <c r="Q584" s="39"/>
      <c r="R584" s="39"/>
      <c r="S584" s="39"/>
      <c r="T584" s="39"/>
      <c r="U584" s="39"/>
      <c r="V584" s="39"/>
      <c r="W584" s="39"/>
      <c r="X584" s="39"/>
      <c r="Y584" s="39"/>
      <c r="Z584" s="39"/>
      <c r="AA584" s="39"/>
      <c r="AB584" s="39"/>
      <c r="AC584" s="39"/>
      <c r="AD584" s="39"/>
      <c r="AE584" s="39"/>
      <c r="AF584" s="39"/>
      <c r="AG584" s="39"/>
      <c r="AH584" s="39"/>
    </row>
    <row r="585" spans="1:34" s="84" customFormat="1" x14ac:dyDescent="0.25">
      <c r="A585" s="39" t="s">
        <v>350</v>
      </c>
      <c r="B585" s="46" t="s">
        <v>285</v>
      </c>
      <c r="C585" s="39" t="s">
        <v>312</v>
      </c>
      <c r="D585" s="102">
        <v>951516517</v>
      </c>
      <c r="E585" s="102">
        <v>2524936058</v>
      </c>
      <c r="F585" s="39" t="s">
        <v>256</v>
      </c>
      <c r="G585" s="81">
        <f>33349+(364+182)</f>
        <v>33895</v>
      </c>
      <c r="H585" s="50" t="str">
        <f t="shared" si="27"/>
        <v>Oct</v>
      </c>
      <c r="I585" s="51">
        <f t="shared" ca="1" si="28"/>
        <v>24</v>
      </c>
      <c r="J585" s="52" t="s">
        <v>283</v>
      </c>
      <c r="K585" s="53">
        <v>71670</v>
      </c>
      <c r="L585" s="54">
        <v>4</v>
      </c>
      <c r="M585" s="59">
        <f t="shared" si="29"/>
        <v>71670</v>
      </c>
      <c r="N585" s="100"/>
      <c r="O585" s="45"/>
      <c r="P585" s="39"/>
      <c r="Q585" s="39"/>
      <c r="R585" s="39"/>
      <c r="S585" s="39"/>
      <c r="T585" s="39"/>
      <c r="U585" s="39"/>
      <c r="V585" s="39"/>
      <c r="W585" s="39"/>
      <c r="X585" s="39"/>
      <c r="Y585" s="39"/>
      <c r="Z585" s="39"/>
      <c r="AA585" s="39"/>
      <c r="AB585" s="39"/>
      <c r="AC585" s="39"/>
      <c r="AD585" s="39"/>
      <c r="AE585" s="39"/>
      <c r="AF585" s="39"/>
      <c r="AG585" s="39"/>
      <c r="AH585" s="39"/>
    </row>
    <row r="586" spans="1:34" s="84" customFormat="1" x14ac:dyDescent="0.25">
      <c r="A586" s="39" t="s">
        <v>679</v>
      </c>
      <c r="B586" s="46" t="s">
        <v>285</v>
      </c>
      <c r="C586" s="39" t="s">
        <v>678</v>
      </c>
      <c r="D586" s="102">
        <v>802700229</v>
      </c>
      <c r="E586" s="102">
        <v>2524264889</v>
      </c>
      <c r="F586" s="39" t="s">
        <v>256</v>
      </c>
      <c r="G586" s="81">
        <f>33358+(364+182)</f>
        <v>33904</v>
      </c>
      <c r="H586" s="50" t="str">
        <f t="shared" si="27"/>
        <v>Oct</v>
      </c>
      <c r="I586" s="51">
        <f t="shared" ca="1" si="28"/>
        <v>24</v>
      </c>
      <c r="J586" s="52" t="s">
        <v>262</v>
      </c>
      <c r="K586" s="53">
        <v>87980</v>
      </c>
      <c r="L586" s="54">
        <v>1</v>
      </c>
      <c r="M586" s="59">
        <f t="shared" si="29"/>
        <v>87980</v>
      </c>
      <c r="N586" s="100"/>
      <c r="O586" s="45"/>
      <c r="P586" s="39"/>
      <c r="Q586" s="39"/>
      <c r="R586" s="39"/>
      <c r="S586" s="39"/>
      <c r="T586" s="39"/>
      <c r="U586" s="39"/>
      <c r="V586" s="39"/>
      <c r="W586" s="39"/>
      <c r="X586" s="39"/>
      <c r="Y586" s="39"/>
      <c r="Z586" s="39"/>
      <c r="AA586" s="39"/>
      <c r="AB586" s="39"/>
      <c r="AC586" s="39"/>
      <c r="AD586" s="39"/>
      <c r="AE586" s="39"/>
      <c r="AF586" s="39"/>
      <c r="AG586" s="39"/>
      <c r="AH586" s="39"/>
    </row>
    <row r="587" spans="1:34" s="84" customFormat="1" x14ac:dyDescent="0.25">
      <c r="A587" s="39" t="s">
        <v>472</v>
      </c>
      <c r="B587" s="46" t="s">
        <v>280</v>
      </c>
      <c r="C587" s="39" t="s">
        <v>465</v>
      </c>
      <c r="D587" s="102">
        <v>647552282</v>
      </c>
      <c r="E587" s="102">
        <v>9193392642</v>
      </c>
      <c r="F587" s="39" t="s">
        <v>247</v>
      </c>
      <c r="G587" s="81">
        <f>33719+(364+182)</f>
        <v>34265</v>
      </c>
      <c r="H587" s="50" t="str">
        <f t="shared" si="27"/>
        <v>Oct</v>
      </c>
      <c r="I587" s="51">
        <f t="shared" ca="1" si="28"/>
        <v>23</v>
      </c>
      <c r="J587" s="52"/>
      <c r="K587" s="53">
        <v>35460</v>
      </c>
      <c r="L587" s="54">
        <v>3</v>
      </c>
      <c r="M587" s="59">
        <f t="shared" si="29"/>
        <v>35460</v>
      </c>
      <c r="N587" s="100"/>
      <c r="O587" s="45"/>
      <c r="P587" s="39"/>
      <c r="Q587" s="39"/>
      <c r="R587" s="39"/>
      <c r="S587" s="39"/>
      <c r="T587" s="39"/>
      <c r="U587" s="39"/>
      <c r="V587" s="39"/>
      <c r="W587" s="39"/>
      <c r="X587" s="39"/>
      <c r="Y587" s="39"/>
      <c r="Z587" s="39"/>
      <c r="AA587" s="39"/>
      <c r="AB587" s="39"/>
      <c r="AC587" s="39"/>
      <c r="AD587" s="39"/>
      <c r="AE587" s="39"/>
      <c r="AF587" s="39"/>
      <c r="AG587" s="39"/>
      <c r="AH587" s="39"/>
    </row>
    <row r="588" spans="1:34" s="84" customFormat="1" x14ac:dyDescent="0.25">
      <c r="A588" s="39" t="s">
        <v>734</v>
      </c>
      <c r="B588" s="46" t="s">
        <v>251</v>
      </c>
      <c r="C588" s="39" t="s">
        <v>705</v>
      </c>
      <c r="D588" s="102">
        <v>302854692</v>
      </c>
      <c r="E588" s="102">
        <v>2528651774</v>
      </c>
      <c r="F588" s="39" t="s">
        <v>261</v>
      </c>
      <c r="G588" s="81">
        <f>34071+(364+182)</f>
        <v>34617</v>
      </c>
      <c r="H588" s="50" t="str">
        <f t="shared" si="27"/>
        <v>Oct</v>
      </c>
      <c r="I588" s="51">
        <f t="shared" ca="1" si="28"/>
        <v>22</v>
      </c>
      <c r="J588" s="52" t="s">
        <v>257</v>
      </c>
      <c r="K588" s="53">
        <v>13435</v>
      </c>
      <c r="L588" s="54">
        <v>1</v>
      </c>
      <c r="M588" s="59">
        <f t="shared" si="29"/>
        <v>13435</v>
      </c>
      <c r="N588" s="100"/>
      <c r="O588" s="45"/>
      <c r="P588" s="39"/>
      <c r="Q588" s="39"/>
      <c r="R588" s="39"/>
      <c r="S588" s="39"/>
      <c r="T588" s="39"/>
      <c r="U588" s="39"/>
      <c r="V588" s="39"/>
      <c r="W588" s="39"/>
      <c r="X588" s="39"/>
      <c r="Y588" s="39"/>
      <c r="Z588" s="39"/>
      <c r="AA588" s="39"/>
      <c r="AB588" s="39"/>
      <c r="AC588" s="39"/>
      <c r="AD588" s="39"/>
      <c r="AE588" s="39"/>
      <c r="AF588" s="39"/>
      <c r="AG588" s="39"/>
      <c r="AH588" s="39"/>
    </row>
    <row r="589" spans="1:34" s="84" customFormat="1" x14ac:dyDescent="0.25">
      <c r="A589" s="39" t="s">
        <v>813</v>
      </c>
      <c r="B589" s="46" t="s">
        <v>245</v>
      </c>
      <c r="C589" s="39" t="s">
        <v>767</v>
      </c>
      <c r="D589" s="102">
        <v>476243591</v>
      </c>
      <c r="E589" s="102">
        <v>9197188067</v>
      </c>
      <c r="F589" s="39" t="s">
        <v>256</v>
      </c>
      <c r="G589" s="81">
        <f>34443+(364+182)</f>
        <v>34989</v>
      </c>
      <c r="H589" s="50" t="str">
        <f t="shared" si="27"/>
        <v>Oct</v>
      </c>
      <c r="I589" s="51">
        <f t="shared" ca="1" si="28"/>
        <v>21</v>
      </c>
      <c r="J589" s="52" t="s">
        <v>257</v>
      </c>
      <c r="K589" s="53">
        <v>50570</v>
      </c>
      <c r="L589" s="54">
        <v>4</v>
      </c>
      <c r="M589" s="59">
        <f t="shared" si="29"/>
        <v>50570</v>
      </c>
      <c r="N589" s="100"/>
      <c r="O589" s="45"/>
      <c r="P589" s="39"/>
      <c r="Q589" s="39"/>
      <c r="R589" s="39"/>
      <c r="S589" s="39"/>
      <c r="T589" s="39"/>
      <c r="U589" s="39"/>
      <c r="V589" s="39"/>
      <c r="W589" s="39"/>
      <c r="X589" s="39"/>
      <c r="Y589" s="39"/>
      <c r="Z589" s="39"/>
      <c r="AA589" s="39"/>
      <c r="AB589" s="39"/>
      <c r="AC589" s="39"/>
      <c r="AD589" s="39"/>
      <c r="AE589" s="39"/>
      <c r="AF589" s="39"/>
      <c r="AG589" s="39"/>
      <c r="AH589" s="39"/>
    </row>
    <row r="590" spans="1:34" s="84" customFormat="1" x14ac:dyDescent="0.25">
      <c r="A590" s="39" t="s">
        <v>321</v>
      </c>
      <c r="B590" s="46" t="s">
        <v>266</v>
      </c>
      <c r="C590" s="39" t="s">
        <v>312</v>
      </c>
      <c r="D590" s="102">
        <v>964243524</v>
      </c>
      <c r="E590" s="102">
        <v>2522339143</v>
      </c>
      <c r="F590" s="39" t="s">
        <v>256</v>
      </c>
      <c r="G590" s="81">
        <f>34450+(364+182)</f>
        <v>34996</v>
      </c>
      <c r="H590" s="50" t="str">
        <f t="shared" si="27"/>
        <v>Oct</v>
      </c>
      <c r="I590" s="51">
        <f t="shared" ca="1" si="28"/>
        <v>21</v>
      </c>
      <c r="J590" s="52" t="s">
        <v>257</v>
      </c>
      <c r="K590" s="53">
        <v>67890</v>
      </c>
      <c r="L590" s="54">
        <v>5</v>
      </c>
      <c r="M590" s="59">
        <f t="shared" si="29"/>
        <v>67890</v>
      </c>
      <c r="N590" s="100"/>
      <c r="O590" s="45"/>
      <c r="P590" s="39"/>
      <c r="Q590" s="39"/>
      <c r="R590" s="39"/>
      <c r="S590" s="39"/>
      <c r="T590" s="39"/>
      <c r="U590" s="39"/>
      <c r="V590" s="39"/>
      <c r="W590" s="39"/>
      <c r="X590" s="39"/>
      <c r="Y590" s="39"/>
      <c r="Z590" s="39"/>
      <c r="AA590" s="39"/>
      <c r="AB590" s="39"/>
      <c r="AC590" s="39"/>
      <c r="AD590" s="39"/>
      <c r="AE590" s="39"/>
      <c r="AF590" s="39"/>
      <c r="AG590" s="39"/>
      <c r="AH590" s="39"/>
    </row>
    <row r="591" spans="1:34" s="84" customFormat="1" x14ac:dyDescent="0.25">
      <c r="A591" s="39" t="s">
        <v>713</v>
      </c>
      <c r="B591" s="46" t="s">
        <v>245</v>
      </c>
      <c r="C591" s="39" t="s">
        <v>705</v>
      </c>
      <c r="D591" s="102">
        <v>869524136</v>
      </c>
      <c r="E591" s="102">
        <v>9193640748</v>
      </c>
      <c r="F591" s="39" t="s">
        <v>256</v>
      </c>
      <c r="G591" s="81">
        <f>34793+(364+182)</f>
        <v>35339</v>
      </c>
      <c r="H591" s="50" t="str">
        <f t="shared" si="27"/>
        <v>Oct</v>
      </c>
      <c r="I591" s="51">
        <f t="shared" ca="1" si="28"/>
        <v>20</v>
      </c>
      <c r="J591" s="52" t="s">
        <v>283</v>
      </c>
      <c r="K591" s="53">
        <v>43410</v>
      </c>
      <c r="L591" s="54">
        <v>1</v>
      </c>
      <c r="M591" s="59">
        <f t="shared" si="29"/>
        <v>43410</v>
      </c>
      <c r="N591" s="100"/>
      <c r="O591" s="45"/>
      <c r="P591" s="39"/>
      <c r="Q591" s="39"/>
      <c r="R591" s="39"/>
      <c r="S591" s="39"/>
      <c r="T591" s="39"/>
      <c r="U591" s="39"/>
      <c r="V591" s="39"/>
      <c r="W591" s="39"/>
      <c r="X591" s="39"/>
      <c r="Y591" s="39"/>
      <c r="Z591" s="39"/>
      <c r="AA591" s="39"/>
      <c r="AB591" s="39"/>
      <c r="AC591" s="39"/>
      <c r="AD591" s="39"/>
      <c r="AE591" s="39"/>
      <c r="AF591" s="39"/>
      <c r="AG591" s="39"/>
      <c r="AH591" s="39"/>
    </row>
    <row r="592" spans="1:34" s="84" customFormat="1" x14ac:dyDescent="0.25">
      <c r="A592" s="39" t="s">
        <v>543</v>
      </c>
      <c r="B592" s="46" t="s">
        <v>251</v>
      </c>
      <c r="C592" s="39" t="s">
        <v>465</v>
      </c>
      <c r="D592" s="102">
        <v>624234626</v>
      </c>
      <c r="E592" s="102">
        <v>2523077504</v>
      </c>
      <c r="F592" s="39" t="s">
        <v>261</v>
      </c>
      <c r="G592" s="81">
        <f>34797+(364+182)</f>
        <v>35343</v>
      </c>
      <c r="H592" s="50" t="str">
        <f t="shared" si="27"/>
        <v>Oct</v>
      </c>
      <c r="I592" s="51">
        <f t="shared" ca="1" si="28"/>
        <v>20</v>
      </c>
      <c r="J592" s="52" t="s">
        <v>257</v>
      </c>
      <c r="K592" s="53">
        <v>46645</v>
      </c>
      <c r="L592" s="54">
        <v>5</v>
      </c>
      <c r="M592" s="59">
        <f t="shared" si="29"/>
        <v>46645</v>
      </c>
      <c r="N592" s="100"/>
      <c r="O592" s="45"/>
      <c r="P592" s="39"/>
      <c r="Q592" s="39"/>
      <c r="R592" s="39"/>
      <c r="S592" s="39"/>
      <c r="T592" s="39"/>
      <c r="U592" s="39"/>
      <c r="V592" s="39"/>
      <c r="W592" s="39"/>
      <c r="X592" s="39"/>
      <c r="Y592" s="39"/>
      <c r="Z592" s="39"/>
      <c r="AA592" s="39"/>
      <c r="AB592" s="39"/>
      <c r="AC592" s="39"/>
      <c r="AD592" s="39"/>
      <c r="AE592" s="39"/>
      <c r="AF592" s="39"/>
      <c r="AG592" s="39"/>
      <c r="AH592" s="39"/>
    </row>
    <row r="593" spans="1:34" s="84" customFormat="1" x14ac:dyDescent="0.25">
      <c r="A593" s="39" t="s">
        <v>467</v>
      </c>
      <c r="B593" s="46" t="s">
        <v>271</v>
      </c>
      <c r="C593" s="39" t="s">
        <v>465</v>
      </c>
      <c r="D593" s="102">
        <v>592631929</v>
      </c>
      <c r="E593" s="102">
        <v>2523922629</v>
      </c>
      <c r="F593" s="39" t="s">
        <v>247</v>
      </c>
      <c r="G593" s="81">
        <f>34803+(364+182)</f>
        <v>35349</v>
      </c>
      <c r="H593" s="50" t="str">
        <f t="shared" si="27"/>
        <v>Oct</v>
      </c>
      <c r="I593" s="51">
        <f t="shared" ca="1" si="28"/>
        <v>20</v>
      </c>
      <c r="J593" s="52"/>
      <c r="K593" s="53">
        <v>52940</v>
      </c>
      <c r="L593" s="54">
        <v>4</v>
      </c>
      <c r="M593" s="59">
        <f t="shared" si="29"/>
        <v>52940</v>
      </c>
      <c r="N593" s="100"/>
      <c r="O593" s="45"/>
      <c r="P593" s="39"/>
      <c r="Q593" s="39"/>
      <c r="R593" s="39"/>
      <c r="S593" s="39"/>
      <c r="T593" s="39"/>
      <c r="U593" s="39"/>
      <c r="V593" s="39"/>
      <c r="W593" s="39"/>
      <c r="X593" s="39"/>
      <c r="Y593" s="39"/>
      <c r="Z593" s="39"/>
      <c r="AA593" s="39"/>
      <c r="AB593" s="39"/>
      <c r="AC593" s="39"/>
      <c r="AD593" s="39"/>
      <c r="AE593" s="39"/>
      <c r="AF593" s="39"/>
      <c r="AG593" s="39"/>
      <c r="AH593" s="39"/>
    </row>
    <row r="594" spans="1:34" s="84" customFormat="1" x14ac:dyDescent="0.25">
      <c r="A594" s="39" t="s">
        <v>575</v>
      </c>
      <c r="B594" s="46" t="s">
        <v>271</v>
      </c>
      <c r="C594" s="39" t="s">
        <v>465</v>
      </c>
      <c r="D594" s="102">
        <v>371001908</v>
      </c>
      <c r="E594" s="102">
        <v>2527061632</v>
      </c>
      <c r="F594" s="39" t="s">
        <v>256</v>
      </c>
      <c r="G594" s="81">
        <f>34810+(364+182)</f>
        <v>35356</v>
      </c>
      <c r="H594" s="50" t="str">
        <f t="shared" si="27"/>
        <v>Oct</v>
      </c>
      <c r="I594" s="51">
        <f t="shared" ca="1" si="28"/>
        <v>20</v>
      </c>
      <c r="J594" s="52" t="s">
        <v>262</v>
      </c>
      <c r="K594" s="53">
        <v>45480</v>
      </c>
      <c r="L594" s="54">
        <v>4</v>
      </c>
      <c r="M594" s="59">
        <f t="shared" si="29"/>
        <v>45480</v>
      </c>
      <c r="N594" s="100"/>
      <c r="O594" s="45"/>
      <c r="P594" s="39"/>
      <c r="Q594" s="39"/>
      <c r="R594" s="39"/>
      <c r="S594" s="39"/>
      <c r="T594" s="39"/>
      <c r="U594" s="39"/>
      <c r="V594" s="39"/>
      <c r="W594" s="39"/>
      <c r="X594" s="39"/>
      <c r="Y594" s="39"/>
      <c r="Z594" s="39"/>
      <c r="AA594" s="39"/>
      <c r="AB594" s="39"/>
      <c r="AC594" s="39"/>
      <c r="AD594" s="39"/>
      <c r="AE594" s="39"/>
      <c r="AF594" s="39"/>
      <c r="AG594" s="39"/>
      <c r="AH594" s="39"/>
    </row>
    <row r="595" spans="1:34" s="84" customFormat="1" x14ac:dyDescent="0.25">
      <c r="A595" s="39" t="s">
        <v>885</v>
      </c>
      <c r="B595" s="46" t="s">
        <v>271</v>
      </c>
      <c r="C595" s="39" t="s">
        <v>856</v>
      </c>
      <c r="D595" s="102">
        <v>562497973</v>
      </c>
      <c r="E595" s="102">
        <v>2524111882</v>
      </c>
      <c r="F595" s="39" t="s">
        <v>256</v>
      </c>
      <c r="G595" s="81">
        <f>34810+(364+182)</f>
        <v>35356</v>
      </c>
      <c r="H595" s="50" t="str">
        <f t="shared" si="27"/>
        <v>Oct</v>
      </c>
      <c r="I595" s="51">
        <f t="shared" ca="1" si="28"/>
        <v>20</v>
      </c>
      <c r="J595" s="52" t="s">
        <v>262</v>
      </c>
      <c r="K595" s="53">
        <v>63030</v>
      </c>
      <c r="L595" s="54">
        <v>1</v>
      </c>
      <c r="M595" s="59">
        <f t="shared" si="29"/>
        <v>63030</v>
      </c>
      <c r="N595" s="100"/>
      <c r="O595" s="45"/>
      <c r="P595" s="39"/>
      <c r="Q595" s="39"/>
      <c r="R595" s="39"/>
      <c r="S595" s="39"/>
      <c r="T595" s="39"/>
      <c r="U595" s="39"/>
      <c r="V595" s="39"/>
      <c r="W595" s="39"/>
      <c r="X595" s="39"/>
      <c r="Y595" s="39"/>
      <c r="Z595" s="39"/>
      <c r="AA595" s="39"/>
      <c r="AB595" s="39"/>
      <c r="AC595" s="39"/>
      <c r="AD595" s="39"/>
      <c r="AE595" s="39"/>
      <c r="AF595" s="39"/>
      <c r="AG595" s="39"/>
      <c r="AH595" s="39"/>
    </row>
    <row r="596" spans="1:34" s="84" customFormat="1" x14ac:dyDescent="0.25">
      <c r="A596" s="39" t="s">
        <v>473</v>
      </c>
      <c r="B596" s="46" t="s">
        <v>266</v>
      </c>
      <c r="C596" s="39" t="s">
        <v>465</v>
      </c>
      <c r="D596" s="102">
        <v>906321388</v>
      </c>
      <c r="E596" s="102">
        <v>2527919826</v>
      </c>
      <c r="F596" s="39" t="s">
        <v>247</v>
      </c>
      <c r="G596" s="81">
        <f>34814+(364+182)</f>
        <v>35360</v>
      </c>
      <c r="H596" s="50" t="str">
        <f t="shared" si="27"/>
        <v>Oct</v>
      </c>
      <c r="I596" s="51">
        <f t="shared" ca="1" si="28"/>
        <v>20</v>
      </c>
      <c r="J596" s="52"/>
      <c r="K596" s="53">
        <v>28260</v>
      </c>
      <c r="L596" s="54">
        <v>5</v>
      </c>
      <c r="M596" s="59">
        <f t="shared" si="29"/>
        <v>28260</v>
      </c>
      <c r="N596" s="100"/>
      <c r="O596" s="45"/>
      <c r="P596" s="39"/>
      <c r="Q596" s="39"/>
      <c r="R596" s="39"/>
      <c r="S596" s="39"/>
      <c r="T596" s="39"/>
      <c r="U596" s="39"/>
      <c r="V596" s="39"/>
      <c r="W596" s="39"/>
      <c r="X596" s="39"/>
      <c r="Y596" s="39"/>
      <c r="Z596" s="39"/>
      <c r="AA596" s="39"/>
      <c r="AB596" s="39"/>
      <c r="AC596" s="39"/>
      <c r="AD596" s="39"/>
      <c r="AE596" s="39"/>
      <c r="AF596" s="39"/>
      <c r="AG596" s="39"/>
      <c r="AH596" s="39"/>
    </row>
    <row r="597" spans="1:34" s="84" customFormat="1" x14ac:dyDescent="0.25">
      <c r="A597" s="39" t="s">
        <v>550</v>
      </c>
      <c r="B597" s="46" t="s">
        <v>266</v>
      </c>
      <c r="C597" s="39" t="s">
        <v>465</v>
      </c>
      <c r="D597" s="102">
        <v>523758324</v>
      </c>
      <c r="E597" s="102">
        <v>9191308831</v>
      </c>
      <c r="F597" s="39" t="s">
        <v>256</v>
      </c>
      <c r="G597" s="81">
        <f>34815+(364+182)</f>
        <v>35361</v>
      </c>
      <c r="H597" s="50" t="str">
        <f t="shared" si="27"/>
        <v>Oct</v>
      </c>
      <c r="I597" s="51">
        <f t="shared" ca="1" si="28"/>
        <v>20</v>
      </c>
      <c r="J597" s="52" t="s">
        <v>257</v>
      </c>
      <c r="K597" s="53">
        <v>59320</v>
      </c>
      <c r="L597" s="54">
        <v>4</v>
      </c>
      <c r="M597" s="59">
        <f t="shared" si="29"/>
        <v>59320</v>
      </c>
      <c r="N597" s="100"/>
      <c r="O597" s="45"/>
      <c r="P597" s="39"/>
      <c r="Q597" s="39"/>
      <c r="R597" s="39"/>
      <c r="S597" s="39"/>
      <c r="T597" s="39"/>
      <c r="U597" s="39"/>
      <c r="V597" s="39"/>
      <c r="W597" s="39"/>
      <c r="X597" s="39"/>
      <c r="Y597" s="39"/>
      <c r="Z597" s="39"/>
      <c r="AA597" s="39"/>
      <c r="AB597" s="39"/>
      <c r="AC597" s="39"/>
      <c r="AD597" s="39"/>
      <c r="AE597" s="39"/>
      <c r="AF597" s="39"/>
      <c r="AG597" s="39"/>
      <c r="AH597" s="39"/>
    </row>
    <row r="598" spans="1:34" s="84" customFormat="1" x14ac:dyDescent="0.25">
      <c r="A598" s="39" t="s">
        <v>1007</v>
      </c>
      <c r="B598" s="46" t="s">
        <v>271</v>
      </c>
      <c r="C598" s="39" t="s">
        <v>930</v>
      </c>
      <c r="D598" s="102">
        <v>793256568</v>
      </c>
      <c r="E598" s="102">
        <v>9196999991</v>
      </c>
      <c r="F598" s="39" t="s">
        <v>256</v>
      </c>
      <c r="G598" s="81">
        <f>34818+(364+182)</f>
        <v>35364</v>
      </c>
      <c r="H598" s="50" t="str">
        <f t="shared" si="27"/>
        <v>Oct</v>
      </c>
      <c r="I598" s="51">
        <f t="shared" ca="1" si="28"/>
        <v>20</v>
      </c>
      <c r="J598" s="52" t="s">
        <v>257</v>
      </c>
      <c r="K598" s="53">
        <v>27130</v>
      </c>
      <c r="L598" s="54">
        <v>5</v>
      </c>
      <c r="M598" s="59">
        <f t="shared" si="29"/>
        <v>27130</v>
      </c>
      <c r="N598" s="100"/>
      <c r="O598" s="45"/>
      <c r="P598" s="39"/>
      <c r="Q598" s="39"/>
      <c r="R598" s="39"/>
      <c r="S598" s="39"/>
      <c r="T598" s="39"/>
      <c r="U598" s="39"/>
      <c r="V598" s="39"/>
      <c r="W598" s="39"/>
      <c r="X598" s="39"/>
      <c r="Y598" s="39"/>
      <c r="Z598" s="39"/>
      <c r="AA598" s="39"/>
      <c r="AB598" s="39"/>
      <c r="AC598" s="39"/>
      <c r="AD598" s="39"/>
      <c r="AE598" s="39"/>
      <c r="AF598" s="39"/>
      <c r="AG598" s="39"/>
      <c r="AH598" s="39"/>
    </row>
    <row r="599" spans="1:34" s="84" customFormat="1" x14ac:dyDescent="0.25">
      <c r="A599" s="39" t="s">
        <v>580</v>
      </c>
      <c r="B599" s="46" t="s">
        <v>245</v>
      </c>
      <c r="C599" s="39" t="s">
        <v>465</v>
      </c>
      <c r="D599" s="102">
        <v>136620388</v>
      </c>
      <c r="E599" s="102">
        <v>9195119214</v>
      </c>
      <c r="F599" s="39" t="s">
        <v>256</v>
      </c>
      <c r="G599" s="81">
        <f>35168+(364+182)</f>
        <v>35714</v>
      </c>
      <c r="H599" s="50" t="str">
        <f t="shared" si="27"/>
        <v>Oct</v>
      </c>
      <c r="I599" s="51">
        <f t="shared" ca="1" si="28"/>
        <v>19</v>
      </c>
      <c r="J599" s="52" t="s">
        <v>262</v>
      </c>
      <c r="K599" s="53">
        <v>70020</v>
      </c>
      <c r="L599" s="54">
        <v>3</v>
      </c>
      <c r="M599" s="59">
        <f t="shared" si="29"/>
        <v>70020</v>
      </c>
      <c r="N599" s="100"/>
      <c r="O599" s="45"/>
      <c r="P599" s="39"/>
      <c r="Q599" s="39"/>
      <c r="R599" s="39"/>
      <c r="S599" s="39"/>
      <c r="T599" s="39"/>
      <c r="U599" s="39"/>
      <c r="V599" s="39"/>
      <c r="W599" s="39"/>
      <c r="X599" s="39"/>
      <c r="Y599" s="39"/>
      <c r="Z599" s="39"/>
      <c r="AA599" s="39"/>
      <c r="AB599" s="39"/>
      <c r="AC599" s="39"/>
      <c r="AD599" s="39"/>
      <c r="AE599" s="39"/>
      <c r="AF599" s="39"/>
      <c r="AG599" s="39"/>
      <c r="AH599" s="39"/>
    </row>
    <row r="600" spans="1:34" s="84" customFormat="1" x14ac:dyDescent="0.25">
      <c r="A600" s="39" t="s">
        <v>920</v>
      </c>
      <c r="B600" s="46" t="s">
        <v>280</v>
      </c>
      <c r="C600" s="39" t="s">
        <v>856</v>
      </c>
      <c r="D600" s="102">
        <v>269873478</v>
      </c>
      <c r="E600" s="102">
        <v>9198244224</v>
      </c>
      <c r="F600" s="39" t="s">
        <v>256</v>
      </c>
      <c r="G600" s="81">
        <f>35169+(364+182)</f>
        <v>35715</v>
      </c>
      <c r="H600" s="50" t="str">
        <f t="shared" si="27"/>
        <v>Oct</v>
      </c>
      <c r="I600" s="51">
        <f t="shared" ca="1" si="28"/>
        <v>19</v>
      </c>
      <c r="J600" s="52" t="s">
        <v>283</v>
      </c>
      <c r="K600" s="53">
        <v>32120</v>
      </c>
      <c r="L600" s="54">
        <v>1</v>
      </c>
      <c r="M600" s="59">
        <f t="shared" si="29"/>
        <v>32120</v>
      </c>
      <c r="N600" s="100"/>
      <c r="O600" s="45"/>
      <c r="P600" s="39"/>
      <c r="Q600" s="39"/>
      <c r="R600" s="39"/>
      <c r="S600" s="39"/>
      <c r="T600" s="39"/>
      <c r="U600" s="39"/>
      <c r="V600" s="39"/>
      <c r="W600" s="39"/>
      <c r="X600" s="39"/>
      <c r="Y600" s="39"/>
      <c r="Z600" s="39"/>
      <c r="AA600" s="39"/>
      <c r="AB600" s="39"/>
      <c r="AC600" s="39"/>
      <c r="AD600" s="39"/>
      <c r="AE600" s="39"/>
      <c r="AF600" s="39"/>
      <c r="AG600" s="39"/>
      <c r="AH600" s="39"/>
    </row>
    <row r="601" spans="1:34" s="84" customFormat="1" x14ac:dyDescent="0.25">
      <c r="A601" s="39" t="s">
        <v>682</v>
      </c>
      <c r="B601" s="46" t="s">
        <v>251</v>
      </c>
      <c r="C601" s="39" t="s">
        <v>678</v>
      </c>
      <c r="D601" s="102">
        <v>859204644</v>
      </c>
      <c r="E601" s="102">
        <v>9191617913</v>
      </c>
      <c r="F601" s="39" t="s">
        <v>247</v>
      </c>
      <c r="G601" s="81">
        <f>35178+(364+182)</f>
        <v>35724</v>
      </c>
      <c r="H601" s="50" t="str">
        <f t="shared" si="27"/>
        <v>Oct</v>
      </c>
      <c r="I601" s="51">
        <f t="shared" ca="1" si="28"/>
        <v>19</v>
      </c>
      <c r="J601" s="52"/>
      <c r="K601" s="53">
        <v>86470</v>
      </c>
      <c r="L601" s="54">
        <v>4</v>
      </c>
      <c r="M601" s="59">
        <f t="shared" si="29"/>
        <v>86470</v>
      </c>
      <c r="N601" s="100"/>
      <c r="O601" s="45"/>
      <c r="P601" s="39"/>
      <c r="Q601" s="39"/>
      <c r="R601" s="39"/>
      <c r="S601" s="39"/>
      <c r="T601" s="39"/>
      <c r="U601" s="39"/>
      <c r="V601" s="39"/>
      <c r="W601" s="39"/>
      <c r="X601" s="39"/>
      <c r="Y601" s="39"/>
      <c r="Z601" s="39"/>
      <c r="AA601" s="39"/>
      <c r="AB601" s="39"/>
      <c r="AC601" s="39"/>
      <c r="AD601" s="39"/>
      <c r="AE601" s="39"/>
      <c r="AF601" s="39"/>
      <c r="AG601" s="39"/>
      <c r="AH601" s="39"/>
    </row>
    <row r="602" spans="1:34" s="84" customFormat="1" x14ac:dyDescent="0.25">
      <c r="A602" s="39" t="s">
        <v>900</v>
      </c>
      <c r="B602" s="46" t="s">
        <v>245</v>
      </c>
      <c r="C602" s="39" t="s">
        <v>856</v>
      </c>
      <c r="D602" s="102">
        <v>221347766</v>
      </c>
      <c r="E602" s="102">
        <v>2526853122</v>
      </c>
      <c r="F602" s="39" t="s">
        <v>247</v>
      </c>
      <c r="G602" s="81">
        <f>35524+(364+182)</f>
        <v>36070</v>
      </c>
      <c r="H602" s="50" t="str">
        <f t="shared" si="27"/>
        <v>Oct</v>
      </c>
      <c r="I602" s="51">
        <f t="shared" ca="1" si="28"/>
        <v>18</v>
      </c>
      <c r="J602" s="52"/>
      <c r="K602" s="53">
        <v>59050</v>
      </c>
      <c r="L602" s="54">
        <v>4</v>
      </c>
      <c r="M602" s="59">
        <f t="shared" si="29"/>
        <v>59050</v>
      </c>
      <c r="N602" s="100"/>
      <c r="O602" s="45"/>
      <c r="P602" s="39"/>
      <c r="Q602" s="39"/>
      <c r="R602" s="39"/>
      <c r="S602" s="39"/>
      <c r="T602" s="39"/>
      <c r="U602" s="39"/>
      <c r="V602" s="39"/>
      <c r="W602" s="39"/>
      <c r="X602" s="39"/>
      <c r="Y602" s="39"/>
      <c r="Z602" s="39"/>
      <c r="AA602" s="39"/>
      <c r="AB602" s="39"/>
      <c r="AC602" s="39"/>
      <c r="AD602" s="39"/>
      <c r="AE602" s="39"/>
      <c r="AF602" s="39"/>
      <c r="AG602" s="39"/>
      <c r="AH602" s="39"/>
    </row>
    <row r="603" spans="1:34" s="84" customFormat="1" x14ac:dyDescent="0.25">
      <c r="A603" s="39" t="s">
        <v>401</v>
      </c>
      <c r="B603" s="46" t="s">
        <v>271</v>
      </c>
      <c r="C603" s="39" t="s">
        <v>391</v>
      </c>
      <c r="D603" s="102">
        <v>863161920</v>
      </c>
      <c r="E603" s="102">
        <v>2523748373</v>
      </c>
      <c r="F603" s="39" t="s">
        <v>256</v>
      </c>
      <c r="G603" s="81">
        <f>35531+(364+182)</f>
        <v>36077</v>
      </c>
      <c r="H603" s="50" t="str">
        <f t="shared" si="27"/>
        <v>Oct</v>
      </c>
      <c r="I603" s="51">
        <f t="shared" ca="1" si="28"/>
        <v>18</v>
      </c>
      <c r="J603" s="52" t="s">
        <v>283</v>
      </c>
      <c r="K603" s="53">
        <v>50110</v>
      </c>
      <c r="L603" s="54">
        <v>1</v>
      </c>
      <c r="M603" s="59">
        <f t="shared" si="29"/>
        <v>50110</v>
      </c>
      <c r="N603" s="100"/>
      <c r="O603" s="45"/>
      <c r="P603" s="39"/>
      <c r="Q603" s="39"/>
      <c r="R603" s="39"/>
      <c r="S603" s="39"/>
      <c r="T603" s="39"/>
      <c r="U603" s="39"/>
      <c r="V603" s="39"/>
      <c r="W603" s="39"/>
      <c r="X603" s="39"/>
      <c r="Y603" s="39"/>
      <c r="Z603" s="39"/>
      <c r="AA603" s="39"/>
      <c r="AB603" s="39"/>
      <c r="AC603" s="39"/>
      <c r="AD603" s="39"/>
      <c r="AE603" s="39"/>
      <c r="AF603" s="39"/>
      <c r="AG603" s="39"/>
      <c r="AH603" s="39"/>
    </row>
    <row r="604" spans="1:34" s="84" customFormat="1" x14ac:dyDescent="0.25">
      <c r="A604" s="39" t="s">
        <v>903</v>
      </c>
      <c r="B604" s="46" t="s">
        <v>271</v>
      </c>
      <c r="C604" s="39" t="s">
        <v>856</v>
      </c>
      <c r="D604" s="102">
        <v>180832423</v>
      </c>
      <c r="E604" s="102">
        <v>9198097539</v>
      </c>
      <c r="F604" s="39" t="s">
        <v>256</v>
      </c>
      <c r="G604" s="81">
        <f>35532+(364+182)</f>
        <v>36078</v>
      </c>
      <c r="H604" s="50" t="str">
        <f t="shared" si="27"/>
        <v>Oct</v>
      </c>
      <c r="I604" s="51">
        <f t="shared" ca="1" si="28"/>
        <v>18</v>
      </c>
      <c r="J604" s="52" t="s">
        <v>276</v>
      </c>
      <c r="K604" s="53">
        <v>79610</v>
      </c>
      <c r="L604" s="54">
        <v>2</v>
      </c>
      <c r="M604" s="59">
        <f t="shared" si="29"/>
        <v>79610</v>
      </c>
      <c r="N604" s="100"/>
      <c r="O604" s="45"/>
      <c r="P604" s="39"/>
      <c r="Q604" s="39"/>
      <c r="R604" s="39"/>
      <c r="S604" s="39"/>
      <c r="T604" s="39"/>
      <c r="U604" s="39"/>
      <c r="V604" s="39"/>
      <c r="W604" s="39"/>
      <c r="X604" s="39"/>
      <c r="Y604" s="39"/>
      <c r="Z604" s="39"/>
      <c r="AA604" s="39"/>
      <c r="AB604" s="39"/>
      <c r="AC604" s="39"/>
      <c r="AD604" s="39"/>
      <c r="AE604" s="39"/>
      <c r="AF604" s="39"/>
      <c r="AG604" s="39"/>
      <c r="AH604" s="39"/>
    </row>
    <row r="605" spans="1:34" s="84" customFormat="1" x14ac:dyDescent="0.25">
      <c r="A605" s="39" t="s">
        <v>1017</v>
      </c>
      <c r="B605" s="46" t="s">
        <v>251</v>
      </c>
      <c r="C605" s="39" t="s">
        <v>930</v>
      </c>
      <c r="D605" s="102">
        <v>332494481</v>
      </c>
      <c r="E605" s="102">
        <v>9192094386</v>
      </c>
      <c r="F605" s="39" t="s">
        <v>256</v>
      </c>
      <c r="G605" s="81">
        <f>35534+(364+182)</f>
        <v>36080</v>
      </c>
      <c r="H605" s="50" t="str">
        <f t="shared" si="27"/>
        <v>Oct</v>
      </c>
      <c r="I605" s="51">
        <f t="shared" ca="1" si="28"/>
        <v>18</v>
      </c>
      <c r="J605" s="52" t="s">
        <v>283</v>
      </c>
      <c r="K605" s="53">
        <v>48410</v>
      </c>
      <c r="L605" s="54">
        <v>5</v>
      </c>
      <c r="M605" s="59">
        <f t="shared" si="29"/>
        <v>48410</v>
      </c>
      <c r="N605" s="100"/>
      <c r="O605" s="45"/>
      <c r="P605" s="39"/>
      <c r="Q605" s="39"/>
      <c r="R605" s="39"/>
      <c r="S605" s="39"/>
      <c r="T605" s="39"/>
      <c r="U605" s="39"/>
      <c r="V605" s="39"/>
      <c r="W605" s="39"/>
      <c r="X605" s="39"/>
      <c r="Y605" s="39"/>
      <c r="Z605" s="39"/>
      <c r="AA605" s="39"/>
      <c r="AB605" s="39"/>
      <c r="AC605" s="39"/>
      <c r="AD605" s="39"/>
      <c r="AE605" s="39"/>
      <c r="AF605" s="39"/>
      <c r="AG605" s="39"/>
      <c r="AH605" s="39"/>
    </row>
    <row r="606" spans="1:34" s="84" customFormat="1" x14ac:dyDescent="0.25">
      <c r="A606" s="39" t="s">
        <v>899</v>
      </c>
      <c r="B606" s="46" t="s">
        <v>245</v>
      </c>
      <c r="C606" s="39" t="s">
        <v>856</v>
      </c>
      <c r="D606" s="102">
        <v>291274360</v>
      </c>
      <c r="E606" s="102">
        <v>2524563177</v>
      </c>
      <c r="F606" s="39" t="s">
        <v>256</v>
      </c>
      <c r="G606" s="81">
        <f>35535+(364+182)</f>
        <v>36081</v>
      </c>
      <c r="H606" s="50" t="str">
        <f t="shared" si="27"/>
        <v>Oct</v>
      </c>
      <c r="I606" s="51">
        <f t="shared" ca="1" si="28"/>
        <v>18</v>
      </c>
      <c r="J606" s="52" t="s">
        <v>283</v>
      </c>
      <c r="K606" s="53">
        <v>67407</v>
      </c>
      <c r="L606" s="54">
        <v>5</v>
      </c>
      <c r="M606" s="59">
        <f t="shared" si="29"/>
        <v>67407</v>
      </c>
      <c r="N606" s="100"/>
      <c r="O606" s="45"/>
      <c r="P606" s="39"/>
      <c r="Q606" s="39"/>
      <c r="R606" s="39"/>
      <c r="S606" s="39"/>
      <c r="T606" s="39"/>
      <c r="U606" s="39"/>
      <c r="V606" s="39"/>
      <c r="W606" s="39"/>
      <c r="X606" s="39"/>
      <c r="Y606" s="39"/>
      <c r="Z606" s="39"/>
      <c r="AA606" s="39"/>
      <c r="AB606" s="39"/>
      <c r="AC606" s="39"/>
      <c r="AD606" s="39"/>
      <c r="AE606" s="39"/>
      <c r="AF606" s="39"/>
      <c r="AG606" s="39"/>
      <c r="AH606" s="39"/>
    </row>
    <row r="607" spans="1:34" s="84" customFormat="1" x14ac:dyDescent="0.25">
      <c r="A607" s="39" t="s">
        <v>420</v>
      </c>
      <c r="B607" s="46" t="s">
        <v>251</v>
      </c>
      <c r="C607" s="39" t="s">
        <v>417</v>
      </c>
      <c r="D607" s="102">
        <v>212136062</v>
      </c>
      <c r="E607" s="102">
        <v>9197226463</v>
      </c>
      <c r="F607" s="39" t="s">
        <v>256</v>
      </c>
      <c r="G607" s="81">
        <f>35536+(364+182)</f>
        <v>36082</v>
      </c>
      <c r="H607" s="50" t="str">
        <f t="shared" si="27"/>
        <v>Oct</v>
      </c>
      <c r="I607" s="51">
        <f t="shared" ca="1" si="28"/>
        <v>18</v>
      </c>
      <c r="J607" s="52" t="s">
        <v>283</v>
      </c>
      <c r="K607" s="53">
        <v>82400</v>
      </c>
      <c r="L607" s="54">
        <v>2</v>
      </c>
      <c r="M607" s="59">
        <f t="shared" si="29"/>
        <v>82400</v>
      </c>
      <c r="N607" s="100"/>
      <c r="O607" s="45"/>
      <c r="P607" s="39"/>
      <c r="Q607" s="39"/>
      <c r="R607" s="39"/>
      <c r="S607" s="39"/>
      <c r="T607" s="39"/>
      <c r="U607" s="39"/>
      <c r="V607" s="39"/>
      <c r="W607" s="39"/>
      <c r="X607" s="39"/>
      <c r="Y607" s="39"/>
      <c r="Z607" s="39"/>
      <c r="AA607" s="39"/>
      <c r="AB607" s="39"/>
      <c r="AC607" s="39"/>
      <c r="AD607" s="39"/>
      <c r="AE607" s="39"/>
      <c r="AF607" s="39"/>
      <c r="AG607" s="39"/>
      <c r="AH607" s="39"/>
    </row>
    <row r="608" spans="1:34" s="84" customFormat="1" x14ac:dyDescent="0.25">
      <c r="A608" s="39" t="s">
        <v>504</v>
      </c>
      <c r="B608" s="46" t="s">
        <v>280</v>
      </c>
      <c r="C608" s="39" t="s">
        <v>465</v>
      </c>
      <c r="D608" s="102">
        <v>504914685</v>
      </c>
      <c r="E608" s="102">
        <v>9195250630</v>
      </c>
      <c r="F608" s="39" t="s">
        <v>256</v>
      </c>
      <c r="G608" s="81">
        <f>35538+(364+182)</f>
        <v>36084</v>
      </c>
      <c r="H608" s="50" t="str">
        <f t="shared" si="27"/>
        <v>Oct</v>
      </c>
      <c r="I608" s="51">
        <f t="shared" ca="1" si="28"/>
        <v>18</v>
      </c>
      <c r="J608" s="52" t="s">
        <v>257</v>
      </c>
      <c r="K608" s="53">
        <v>33210</v>
      </c>
      <c r="L608" s="54">
        <v>4</v>
      </c>
      <c r="M608" s="59">
        <f t="shared" si="29"/>
        <v>33210</v>
      </c>
      <c r="N608" s="100"/>
      <c r="O608" s="45"/>
      <c r="P608" s="39"/>
      <c r="Q608" s="39"/>
      <c r="R608" s="39"/>
      <c r="S608" s="39"/>
      <c r="T608" s="39"/>
      <c r="U608" s="39"/>
      <c r="V608" s="39"/>
      <c r="W608" s="39"/>
      <c r="X608" s="39"/>
      <c r="Y608" s="39"/>
      <c r="Z608" s="39"/>
      <c r="AA608" s="39"/>
      <c r="AB608" s="39"/>
      <c r="AC608" s="39"/>
      <c r="AD608" s="39"/>
      <c r="AE608" s="39"/>
      <c r="AF608" s="39"/>
      <c r="AG608" s="39"/>
      <c r="AH608" s="39"/>
    </row>
    <row r="609" spans="1:34" s="84" customFormat="1" x14ac:dyDescent="0.25">
      <c r="A609" s="39" t="s">
        <v>696</v>
      </c>
      <c r="B609" s="46" t="s">
        <v>271</v>
      </c>
      <c r="C609" s="39" t="s">
        <v>678</v>
      </c>
      <c r="D609" s="102">
        <v>797431044</v>
      </c>
      <c r="E609" s="102">
        <v>2523820613</v>
      </c>
      <c r="F609" s="39" t="s">
        <v>252</v>
      </c>
      <c r="G609" s="81">
        <f>35538+(364+182)</f>
        <v>36084</v>
      </c>
      <c r="H609" s="50" t="str">
        <f t="shared" si="27"/>
        <v>Oct</v>
      </c>
      <c r="I609" s="51">
        <f t="shared" ca="1" si="28"/>
        <v>18</v>
      </c>
      <c r="J609" s="52"/>
      <c r="K609" s="53">
        <v>21668</v>
      </c>
      <c r="L609" s="54">
        <v>4</v>
      </c>
      <c r="M609" s="59">
        <f t="shared" si="29"/>
        <v>21668</v>
      </c>
      <c r="N609" s="100"/>
      <c r="O609" s="45"/>
      <c r="P609" s="39"/>
      <c r="Q609" s="39"/>
      <c r="R609" s="39"/>
      <c r="S609" s="39"/>
      <c r="T609" s="39"/>
      <c r="U609" s="39"/>
      <c r="V609" s="39"/>
      <c r="W609" s="39"/>
      <c r="X609" s="39"/>
      <c r="Y609" s="39"/>
      <c r="Z609" s="39"/>
      <c r="AA609" s="39"/>
      <c r="AB609" s="39"/>
      <c r="AC609" s="39"/>
      <c r="AD609" s="39"/>
      <c r="AE609" s="39"/>
      <c r="AF609" s="39"/>
      <c r="AG609" s="39"/>
      <c r="AH609" s="39"/>
    </row>
    <row r="610" spans="1:34" s="84" customFormat="1" x14ac:dyDescent="0.25">
      <c r="A610" s="39" t="s">
        <v>784</v>
      </c>
      <c r="B610" s="46" t="s">
        <v>285</v>
      </c>
      <c r="C610" s="39" t="s">
        <v>767</v>
      </c>
      <c r="D610" s="102">
        <v>349174221</v>
      </c>
      <c r="E610" s="102">
        <v>2521220758</v>
      </c>
      <c r="F610" s="39" t="s">
        <v>261</v>
      </c>
      <c r="G610" s="81">
        <f>35538+(364+182)</f>
        <v>36084</v>
      </c>
      <c r="H610" s="50" t="str">
        <f t="shared" si="27"/>
        <v>Oct</v>
      </c>
      <c r="I610" s="51">
        <f t="shared" ca="1" si="28"/>
        <v>18</v>
      </c>
      <c r="J610" s="52" t="s">
        <v>262</v>
      </c>
      <c r="K610" s="53">
        <v>45750</v>
      </c>
      <c r="L610" s="54">
        <v>5</v>
      </c>
      <c r="M610" s="59">
        <f t="shared" si="29"/>
        <v>45750</v>
      </c>
      <c r="N610" s="100"/>
      <c r="O610" s="45"/>
      <c r="P610" s="39"/>
      <c r="Q610" s="39"/>
      <c r="R610" s="39"/>
      <c r="S610" s="39"/>
      <c r="T610" s="39"/>
      <c r="U610" s="39"/>
      <c r="V610" s="39"/>
      <c r="W610" s="39"/>
      <c r="X610" s="39"/>
      <c r="Y610" s="39"/>
      <c r="Z610" s="39"/>
      <c r="AA610" s="39"/>
      <c r="AB610" s="39"/>
      <c r="AC610" s="39"/>
      <c r="AD610" s="39"/>
      <c r="AE610" s="39"/>
      <c r="AF610" s="39"/>
      <c r="AG610" s="39"/>
      <c r="AH610" s="39"/>
    </row>
    <row r="611" spans="1:34" s="84" customFormat="1" x14ac:dyDescent="0.25">
      <c r="A611" s="39" t="s">
        <v>776</v>
      </c>
      <c r="B611" s="46" t="s">
        <v>245</v>
      </c>
      <c r="C611" s="39" t="s">
        <v>767</v>
      </c>
      <c r="D611" s="102">
        <v>106686151</v>
      </c>
      <c r="E611" s="102">
        <v>2521246633</v>
      </c>
      <c r="F611" s="39" t="s">
        <v>247</v>
      </c>
      <c r="G611" s="81">
        <f>35540+(364+182)</f>
        <v>36086</v>
      </c>
      <c r="H611" s="50" t="str">
        <f t="shared" si="27"/>
        <v>Oct</v>
      </c>
      <c r="I611" s="51">
        <f t="shared" ca="1" si="28"/>
        <v>18</v>
      </c>
      <c r="J611" s="52"/>
      <c r="K611" s="53">
        <v>47520</v>
      </c>
      <c r="L611" s="54">
        <v>1</v>
      </c>
      <c r="M611" s="59">
        <f t="shared" si="29"/>
        <v>47520</v>
      </c>
      <c r="N611" s="100"/>
      <c r="O611" s="45"/>
      <c r="P611" s="39"/>
      <c r="Q611" s="39"/>
      <c r="R611" s="39"/>
      <c r="S611" s="39"/>
      <c r="T611" s="39"/>
      <c r="U611" s="39"/>
      <c r="V611" s="39"/>
      <c r="W611" s="39"/>
      <c r="X611" s="39"/>
      <c r="Y611" s="39"/>
      <c r="Z611" s="39"/>
      <c r="AA611" s="39"/>
      <c r="AB611" s="39"/>
      <c r="AC611" s="39"/>
      <c r="AD611" s="39"/>
      <c r="AE611" s="39"/>
      <c r="AF611" s="39"/>
      <c r="AG611" s="39"/>
      <c r="AH611" s="39"/>
    </row>
    <row r="612" spans="1:34" s="84" customFormat="1" x14ac:dyDescent="0.25">
      <c r="A612" s="39" t="s">
        <v>348</v>
      </c>
      <c r="B612" s="46" t="s">
        <v>245</v>
      </c>
      <c r="C612" s="39" t="s">
        <v>312</v>
      </c>
      <c r="D612" s="102">
        <v>474999228</v>
      </c>
      <c r="E612" s="102">
        <v>9193848677</v>
      </c>
      <c r="F612" s="39" t="s">
        <v>247</v>
      </c>
      <c r="G612" s="81">
        <f>35541+(364+182)</f>
        <v>36087</v>
      </c>
      <c r="H612" s="50" t="str">
        <f t="shared" si="27"/>
        <v>Oct</v>
      </c>
      <c r="I612" s="51">
        <f t="shared" ca="1" si="28"/>
        <v>18</v>
      </c>
      <c r="J612" s="52"/>
      <c r="K612" s="53">
        <v>76930</v>
      </c>
      <c r="L612" s="54">
        <v>1</v>
      </c>
      <c r="M612" s="59">
        <f t="shared" si="29"/>
        <v>76930</v>
      </c>
      <c r="N612" s="100"/>
      <c r="O612" s="45"/>
      <c r="P612" s="39"/>
      <c r="Q612" s="39"/>
      <c r="R612" s="39"/>
      <c r="S612" s="39"/>
      <c r="T612" s="39"/>
      <c r="U612" s="39"/>
      <c r="V612" s="39"/>
      <c r="W612" s="39"/>
      <c r="X612" s="39"/>
      <c r="Y612" s="39"/>
      <c r="Z612" s="39"/>
      <c r="AA612" s="39"/>
      <c r="AB612" s="39"/>
      <c r="AC612" s="39"/>
      <c r="AD612" s="39"/>
      <c r="AE612" s="39"/>
      <c r="AF612" s="39"/>
      <c r="AG612" s="39"/>
      <c r="AH612" s="39"/>
    </row>
    <row r="613" spans="1:34" s="84" customFormat="1" x14ac:dyDescent="0.25">
      <c r="A613" s="39" t="s">
        <v>826</v>
      </c>
      <c r="B613" s="46" t="s">
        <v>271</v>
      </c>
      <c r="C613" s="39" t="s">
        <v>767</v>
      </c>
      <c r="D613" s="102">
        <v>330879921</v>
      </c>
      <c r="E613" s="102">
        <v>9195691314</v>
      </c>
      <c r="F613" s="39" t="s">
        <v>256</v>
      </c>
      <c r="G613" s="81">
        <f>35542+(364+182)</f>
        <v>36088</v>
      </c>
      <c r="H613" s="50" t="str">
        <f t="shared" si="27"/>
        <v>Oct</v>
      </c>
      <c r="I613" s="51">
        <f t="shared" ca="1" si="28"/>
        <v>18</v>
      </c>
      <c r="J613" s="52" t="s">
        <v>267</v>
      </c>
      <c r="K613" s="53">
        <v>54580</v>
      </c>
      <c r="L613" s="54">
        <v>4</v>
      </c>
      <c r="M613" s="59">
        <f t="shared" si="29"/>
        <v>54580</v>
      </c>
      <c r="N613" s="100"/>
      <c r="O613" s="45"/>
      <c r="P613" s="39"/>
      <c r="Q613" s="39"/>
      <c r="R613" s="39"/>
      <c r="S613" s="39"/>
      <c r="T613" s="39"/>
      <c r="U613" s="39"/>
      <c r="V613" s="39"/>
      <c r="W613" s="39"/>
      <c r="X613" s="39"/>
      <c r="Y613" s="39"/>
      <c r="Z613" s="39"/>
      <c r="AA613" s="39"/>
      <c r="AB613" s="39"/>
      <c r="AC613" s="39"/>
      <c r="AD613" s="39"/>
      <c r="AE613" s="39"/>
      <c r="AF613" s="39"/>
      <c r="AG613" s="39"/>
      <c r="AH613" s="39"/>
    </row>
    <row r="614" spans="1:34" s="84" customFormat="1" x14ac:dyDescent="0.25">
      <c r="A614" s="39" t="s">
        <v>675</v>
      </c>
      <c r="B614" s="46" t="s">
        <v>285</v>
      </c>
      <c r="C614" s="39" t="s">
        <v>626</v>
      </c>
      <c r="D614" s="102">
        <v>294161481</v>
      </c>
      <c r="E614" s="102">
        <v>2521201242</v>
      </c>
      <c r="F614" s="39" t="s">
        <v>261</v>
      </c>
      <c r="G614" s="81">
        <f>35548+(364+182)</f>
        <v>36094</v>
      </c>
      <c r="H614" s="50" t="str">
        <f t="shared" si="27"/>
        <v>Oct</v>
      </c>
      <c r="I614" s="51">
        <f t="shared" ca="1" si="28"/>
        <v>18</v>
      </c>
      <c r="J614" s="52" t="s">
        <v>257</v>
      </c>
      <c r="K614" s="53">
        <v>47885</v>
      </c>
      <c r="L614" s="54">
        <v>1</v>
      </c>
      <c r="M614" s="59">
        <f t="shared" si="29"/>
        <v>47885</v>
      </c>
      <c r="N614" s="100"/>
      <c r="O614" s="45"/>
      <c r="P614" s="39"/>
      <c r="Q614" s="39"/>
      <c r="R614" s="39"/>
      <c r="S614" s="39"/>
      <c r="T614" s="39"/>
      <c r="U614" s="39"/>
      <c r="V614" s="39"/>
      <c r="W614" s="39"/>
      <c r="X614" s="39"/>
      <c r="Y614" s="39"/>
      <c r="Z614" s="39"/>
      <c r="AA614" s="39"/>
      <c r="AB614" s="39"/>
      <c r="AC614" s="39"/>
      <c r="AD614" s="39"/>
      <c r="AE614" s="39"/>
      <c r="AF614" s="39"/>
      <c r="AG614" s="39"/>
      <c r="AH614" s="39"/>
    </row>
    <row r="615" spans="1:34" s="84" customFormat="1" x14ac:dyDescent="0.25">
      <c r="A615" s="39" t="s">
        <v>553</v>
      </c>
      <c r="B615" s="46" t="s">
        <v>245</v>
      </c>
      <c r="C615" s="39" t="s">
        <v>465</v>
      </c>
      <c r="D615" s="102">
        <v>772163640</v>
      </c>
      <c r="E615" s="102">
        <v>9192474315</v>
      </c>
      <c r="F615" s="39" t="s">
        <v>256</v>
      </c>
      <c r="G615" s="81">
        <f>35898+(364+182)</f>
        <v>36444</v>
      </c>
      <c r="H615" s="50" t="str">
        <f t="shared" si="27"/>
        <v>Oct</v>
      </c>
      <c r="I615" s="51">
        <f t="shared" ca="1" si="28"/>
        <v>17</v>
      </c>
      <c r="J615" s="52" t="s">
        <v>257</v>
      </c>
      <c r="K615" s="53">
        <v>67280</v>
      </c>
      <c r="L615" s="54">
        <v>3</v>
      </c>
      <c r="M615" s="59">
        <f t="shared" si="29"/>
        <v>67280</v>
      </c>
      <c r="N615" s="100"/>
      <c r="O615" s="45"/>
      <c r="P615" s="39"/>
      <c r="Q615" s="39"/>
      <c r="R615" s="39"/>
      <c r="S615" s="39"/>
      <c r="T615" s="39"/>
      <c r="U615" s="39"/>
      <c r="V615" s="39"/>
      <c r="W615" s="39"/>
      <c r="X615" s="39"/>
      <c r="Y615" s="39"/>
      <c r="Z615" s="39"/>
      <c r="AA615" s="39"/>
      <c r="AB615" s="39"/>
      <c r="AC615" s="39"/>
      <c r="AD615" s="39"/>
      <c r="AE615" s="39"/>
      <c r="AF615" s="39"/>
      <c r="AG615" s="39"/>
      <c r="AH615" s="39"/>
    </row>
    <row r="616" spans="1:34" s="84" customFormat="1" x14ac:dyDescent="0.25">
      <c r="A616" s="39" t="s">
        <v>505</v>
      </c>
      <c r="B616" s="46" t="s">
        <v>271</v>
      </c>
      <c r="C616" s="39" t="s">
        <v>465</v>
      </c>
      <c r="D616" s="102">
        <v>384454025</v>
      </c>
      <c r="E616" s="102">
        <v>2522064219</v>
      </c>
      <c r="F616" s="39" t="s">
        <v>247</v>
      </c>
      <c r="G616" s="81">
        <f>35909+(364+182)</f>
        <v>36455</v>
      </c>
      <c r="H616" s="50" t="str">
        <f t="shared" si="27"/>
        <v>Oct</v>
      </c>
      <c r="I616" s="51">
        <f t="shared" ca="1" si="28"/>
        <v>17</v>
      </c>
      <c r="J616" s="52"/>
      <c r="K616" s="53">
        <v>23810</v>
      </c>
      <c r="L616" s="54">
        <v>4</v>
      </c>
      <c r="M616" s="59">
        <f t="shared" si="29"/>
        <v>23810</v>
      </c>
      <c r="N616" s="100"/>
      <c r="O616" s="45"/>
      <c r="P616" s="39"/>
      <c r="Q616" s="39"/>
      <c r="R616" s="39"/>
      <c r="S616" s="39"/>
      <c r="T616" s="39"/>
      <c r="U616" s="39"/>
      <c r="V616" s="39"/>
      <c r="W616" s="39"/>
      <c r="X616" s="39"/>
      <c r="Y616" s="39"/>
      <c r="Z616" s="39"/>
      <c r="AA616" s="39"/>
      <c r="AB616" s="39"/>
      <c r="AC616" s="39"/>
      <c r="AD616" s="39"/>
      <c r="AE616" s="39"/>
      <c r="AF616" s="39"/>
      <c r="AG616" s="39"/>
      <c r="AH616" s="39"/>
    </row>
    <row r="617" spans="1:34" s="84" customFormat="1" x14ac:dyDescent="0.25">
      <c r="A617" s="39" t="s">
        <v>633</v>
      </c>
      <c r="B617" s="46" t="s">
        <v>271</v>
      </c>
      <c r="C617" s="39" t="s">
        <v>626</v>
      </c>
      <c r="D617" s="102">
        <v>796685092</v>
      </c>
      <c r="E617" s="102">
        <v>2527469217</v>
      </c>
      <c r="F617" s="39" t="s">
        <v>256</v>
      </c>
      <c r="G617" s="81">
        <f>35910+(364+182)</f>
        <v>36456</v>
      </c>
      <c r="H617" s="50" t="str">
        <f t="shared" si="27"/>
        <v>Oct</v>
      </c>
      <c r="I617" s="51">
        <f t="shared" ca="1" si="28"/>
        <v>17</v>
      </c>
      <c r="J617" s="52" t="s">
        <v>283</v>
      </c>
      <c r="K617" s="53">
        <v>43460</v>
      </c>
      <c r="L617" s="54">
        <v>5</v>
      </c>
      <c r="M617" s="59">
        <f t="shared" si="29"/>
        <v>43460</v>
      </c>
      <c r="N617" s="100"/>
      <c r="O617" s="45"/>
      <c r="P617" s="39"/>
      <c r="Q617" s="39"/>
      <c r="R617" s="39"/>
      <c r="S617" s="39"/>
      <c r="T617" s="39"/>
      <c r="U617" s="39"/>
      <c r="V617" s="39"/>
      <c r="W617" s="39"/>
      <c r="X617" s="39"/>
      <c r="Y617" s="39"/>
      <c r="Z617" s="39"/>
      <c r="AA617" s="39"/>
      <c r="AB617" s="39"/>
      <c r="AC617" s="39"/>
      <c r="AD617" s="39"/>
      <c r="AE617" s="39"/>
      <c r="AF617" s="39"/>
      <c r="AG617" s="39"/>
      <c r="AH617" s="39"/>
    </row>
    <row r="618" spans="1:34" s="84" customFormat="1" x14ac:dyDescent="0.25">
      <c r="A618" s="39" t="s">
        <v>979</v>
      </c>
      <c r="B618" s="46" t="s">
        <v>266</v>
      </c>
      <c r="C618" s="39" t="s">
        <v>930</v>
      </c>
      <c r="D618" s="102">
        <v>120224342</v>
      </c>
      <c r="E618" s="102">
        <v>9198986390</v>
      </c>
      <c r="F618" s="39" t="s">
        <v>252</v>
      </c>
      <c r="G618" s="81">
        <f>35912+(364+182)</f>
        <v>36458</v>
      </c>
      <c r="H618" s="50" t="str">
        <f t="shared" si="27"/>
        <v>Oct</v>
      </c>
      <c r="I618" s="51">
        <f t="shared" ca="1" si="28"/>
        <v>17</v>
      </c>
      <c r="J618" s="52"/>
      <c r="K618" s="53">
        <v>32536</v>
      </c>
      <c r="L618" s="54">
        <v>2</v>
      </c>
      <c r="M618" s="59">
        <f t="shared" si="29"/>
        <v>32536</v>
      </c>
      <c r="N618" s="100"/>
      <c r="O618" s="45"/>
      <c r="P618" s="39"/>
      <c r="Q618" s="39"/>
      <c r="R618" s="39"/>
      <c r="S618" s="39"/>
      <c r="T618" s="39"/>
      <c r="U618" s="39"/>
      <c r="V618" s="39"/>
      <c r="W618" s="39"/>
      <c r="X618" s="39"/>
      <c r="Y618" s="39"/>
      <c r="Z618" s="39"/>
      <c r="AA618" s="39"/>
      <c r="AB618" s="39"/>
      <c r="AC618" s="39"/>
      <c r="AD618" s="39"/>
      <c r="AE618" s="39"/>
      <c r="AF618" s="39"/>
      <c r="AG618" s="39"/>
      <c r="AH618" s="39"/>
    </row>
    <row r="619" spans="1:34" s="84" customFormat="1" x14ac:dyDescent="0.25">
      <c r="A619" s="39" t="s">
        <v>956</v>
      </c>
      <c r="B619" s="46" t="s">
        <v>285</v>
      </c>
      <c r="C619" s="39" t="s">
        <v>930</v>
      </c>
      <c r="D619" s="102">
        <v>546546374</v>
      </c>
      <c r="E619" s="102">
        <v>9192727944</v>
      </c>
      <c r="F619" s="39" t="s">
        <v>261</v>
      </c>
      <c r="G619" s="81">
        <f>35916+(364+182)</f>
        <v>36462</v>
      </c>
      <c r="H619" s="50" t="str">
        <f t="shared" si="27"/>
        <v>Oct</v>
      </c>
      <c r="I619" s="51">
        <f t="shared" ca="1" si="28"/>
        <v>17</v>
      </c>
      <c r="J619" s="52" t="s">
        <v>283</v>
      </c>
      <c r="K619" s="53">
        <v>26185</v>
      </c>
      <c r="L619" s="54">
        <v>5</v>
      </c>
      <c r="M619" s="59">
        <f t="shared" si="29"/>
        <v>26185</v>
      </c>
      <c r="N619" s="100"/>
      <c r="O619" s="45"/>
      <c r="P619" s="39"/>
      <c r="Q619" s="39"/>
      <c r="R619" s="39"/>
      <c r="S619" s="39"/>
      <c r="T619" s="39"/>
      <c r="U619" s="39"/>
      <c r="V619" s="39"/>
      <c r="W619" s="39"/>
      <c r="X619" s="39"/>
      <c r="Y619" s="39"/>
      <c r="Z619" s="39"/>
      <c r="AA619" s="39"/>
      <c r="AB619" s="39"/>
      <c r="AC619" s="39"/>
      <c r="AD619" s="39"/>
      <c r="AE619" s="39"/>
      <c r="AF619" s="39"/>
      <c r="AG619" s="39"/>
      <c r="AH619" s="39"/>
    </row>
    <row r="620" spans="1:34" s="84" customFormat="1" x14ac:dyDescent="0.25">
      <c r="A620" s="39" t="s">
        <v>630</v>
      </c>
      <c r="B620" s="46" t="s">
        <v>285</v>
      </c>
      <c r="C620" s="39" t="s">
        <v>626</v>
      </c>
      <c r="D620" s="102">
        <v>424800509</v>
      </c>
      <c r="E620" s="102">
        <v>2523986051</v>
      </c>
      <c r="F620" s="39" t="s">
        <v>256</v>
      </c>
      <c r="G620" s="81">
        <f>35917+(364+182)</f>
        <v>36463</v>
      </c>
      <c r="H620" s="50" t="str">
        <f t="shared" si="27"/>
        <v>Oct</v>
      </c>
      <c r="I620" s="51">
        <f t="shared" ca="1" si="28"/>
        <v>17</v>
      </c>
      <c r="J620" s="52" t="s">
        <v>257</v>
      </c>
      <c r="K620" s="53">
        <v>44220</v>
      </c>
      <c r="L620" s="54">
        <v>3</v>
      </c>
      <c r="M620" s="59">
        <f t="shared" si="29"/>
        <v>44220</v>
      </c>
      <c r="N620" s="100"/>
      <c r="O620" s="45"/>
      <c r="P620" s="39"/>
      <c r="Q620" s="39"/>
      <c r="R620" s="39"/>
      <c r="S620" s="39"/>
      <c r="T620" s="39"/>
      <c r="U620" s="39"/>
      <c r="V620" s="39"/>
      <c r="W620" s="39"/>
      <c r="X620" s="39"/>
      <c r="Y620" s="39"/>
      <c r="Z620" s="39"/>
      <c r="AA620" s="39"/>
      <c r="AB620" s="39"/>
      <c r="AC620" s="39"/>
      <c r="AD620" s="39"/>
      <c r="AE620" s="39"/>
      <c r="AF620" s="39"/>
      <c r="AG620" s="39"/>
      <c r="AH620" s="39"/>
    </row>
    <row r="621" spans="1:34" s="84" customFormat="1" x14ac:dyDescent="0.25">
      <c r="A621" s="39" t="s">
        <v>676</v>
      </c>
      <c r="B621" s="46" t="s">
        <v>271</v>
      </c>
      <c r="C621" s="39" t="s">
        <v>626</v>
      </c>
      <c r="D621" s="102">
        <v>393290045</v>
      </c>
      <c r="E621" s="102">
        <v>2525268508</v>
      </c>
      <c r="F621" s="39" t="s">
        <v>261</v>
      </c>
      <c r="G621" s="81">
        <f>36620+(364+182)</f>
        <v>37166</v>
      </c>
      <c r="H621" s="50" t="str">
        <f t="shared" si="27"/>
        <v>Oct</v>
      </c>
      <c r="I621" s="51">
        <f t="shared" ca="1" si="28"/>
        <v>15</v>
      </c>
      <c r="J621" s="52" t="s">
        <v>262</v>
      </c>
      <c r="K621" s="53">
        <v>47295</v>
      </c>
      <c r="L621" s="54">
        <v>4</v>
      </c>
      <c r="M621" s="59">
        <f t="shared" si="29"/>
        <v>47295</v>
      </c>
      <c r="N621" s="100"/>
      <c r="O621" s="45"/>
      <c r="P621" s="39"/>
      <c r="Q621" s="39"/>
      <c r="R621" s="39"/>
      <c r="S621" s="39"/>
      <c r="T621" s="39"/>
      <c r="U621" s="39"/>
      <c r="V621" s="39"/>
      <c r="W621" s="39"/>
      <c r="X621" s="39"/>
      <c r="Y621" s="39"/>
      <c r="Z621" s="39"/>
      <c r="AA621" s="39"/>
      <c r="AB621" s="39"/>
      <c r="AC621" s="39"/>
      <c r="AD621" s="39"/>
      <c r="AE621" s="39"/>
      <c r="AF621" s="39"/>
      <c r="AG621" s="39"/>
      <c r="AH621" s="39"/>
    </row>
    <row r="622" spans="1:34" s="84" customFormat="1" x14ac:dyDescent="0.25">
      <c r="A622" s="39" t="s">
        <v>322</v>
      </c>
      <c r="B622" s="46" t="s">
        <v>271</v>
      </c>
      <c r="C622" s="39" t="s">
        <v>312</v>
      </c>
      <c r="D622" s="102">
        <v>436693732</v>
      </c>
      <c r="E622" s="102">
        <v>2524077699</v>
      </c>
      <c r="F622" s="39" t="s">
        <v>256</v>
      </c>
      <c r="G622" s="81">
        <f>36630+(364+182)</f>
        <v>37176</v>
      </c>
      <c r="H622" s="50" t="str">
        <f t="shared" si="27"/>
        <v>Oct</v>
      </c>
      <c r="I622" s="51">
        <f t="shared" ca="1" si="28"/>
        <v>15</v>
      </c>
      <c r="J622" s="52" t="s">
        <v>267</v>
      </c>
      <c r="K622" s="53">
        <v>62790</v>
      </c>
      <c r="L622" s="54">
        <v>2</v>
      </c>
      <c r="M622" s="59">
        <f t="shared" si="29"/>
        <v>62790</v>
      </c>
      <c r="N622" s="100"/>
      <c r="O622" s="45"/>
      <c r="P622" s="39"/>
      <c r="Q622" s="39"/>
      <c r="R622" s="39"/>
      <c r="S622" s="39"/>
      <c r="T622" s="39"/>
      <c r="U622" s="39"/>
      <c r="V622" s="39"/>
      <c r="W622" s="39"/>
      <c r="X622" s="39"/>
      <c r="Y622" s="39"/>
      <c r="Z622" s="39"/>
      <c r="AA622" s="39"/>
      <c r="AB622" s="39"/>
      <c r="AC622" s="39"/>
      <c r="AD622" s="39"/>
      <c r="AE622" s="39"/>
      <c r="AF622" s="39"/>
      <c r="AG622" s="39"/>
      <c r="AH622" s="39"/>
    </row>
    <row r="623" spans="1:34" s="84" customFormat="1" x14ac:dyDescent="0.25">
      <c r="A623" s="39" t="s">
        <v>502</v>
      </c>
      <c r="B623" s="46" t="s">
        <v>266</v>
      </c>
      <c r="C623" s="39" t="s">
        <v>465</v>
      </c>
      <c r="D623" s="102">
        <v>378189642</v>
      </c>
      <c r="E623" s="102">
        <v>2526228199</v>
      </c>
      <c r="F623" s="39" t="s">
        <v>247</v>
      </c>
      <c r="G623" s="81">
        <f>37353+(364+182)</f>
        <v>37899</v>
      </c>
      <c r="H623" s="50" t="str">
        <f t="shared" si="27"/>
        <v>Oct</v>
      </c>
      <c r="I623" s="51">
        <f t="shared" ca="1" si="28"/>
        <v>13</v>
      </c>
      <c r="J623" s="52"/>
      <c r="K623" s="53">
        <v>64220</v>
      </c>
      <c r="L623" s="54">
        <v>5</v>
      </c>
      <c r="M623" s="59">
        <f t="shared" si="29"/>
        <v>64220</v>
      </c>
      <c r="N623" s="100"/>
      <c r="O623" s="45"/>
      <c r="P623" s="39"/>
      <c r="Q623" s="39"/>
      <c r="R623" s="39"/>
      <c r="S623" s="39"/>
      <c r="T623" s="39"/>
      <c r="U623" s="39"/>
      <c r="V623" s="39"/>
      <c r="W623" s="39"/>
      <c r="X623" s="39"/>
      <c r="Y623" s="39"/>
      <c r="Z623" s="39"/>
      <c r="AA623" s="39"/>
      <c r="AB623" s="39"/>
      <c r="AC623" s="39"/>
      <c r="AD623" s="39"/>
      <c r="AE623" s="39"/>
      <c r="AF623" s="39"/>
      <c r="AG623" s="39"/>
      <c r="AH623" s="39"/>
    </row>
    <row r="624" spans="1:34" s="84" customFormat="1" x14ac:dyDescent="0.25">
      <c r="A624" s="39" t="s">
        <v>544</v>
      </c>
      <c r="B624" s="46" t="s">
        <v>245</v>
      </c>
      <c r="C624" s="39" t="s">
        <v>465</v>
      </c>
      <c r="D624" s="102">
        <v>361925033</v>
      </c>
      <c r="E624" s="102">
        <v>9196633751</v>
      </c>
      <c r="F624" s="39" t="s">
        <v>247</v>
      </c>
      <c r="G624" s="81">
        <f>37743+(364+182)</f>
        <v>38289</v>
      </c>
      <c r="H624" s="50" t="str">
        <f t="shared" si="27"/>
        <v>Oct</v>
      </c>
      <c r="I624" s="51">
        <f t="shared" ca="1" si="28"/>
        <v>12</v>
      </c>
      <c r="J624" s="52"/>
      <c r="K624" s="53">
        <v>71830</v>
      </c>
      <c r="L624" s="54">
        <v>3</v>
      </c>
      <c r="M624" s="59">
        <f t="shared" si="29"/>
        <v>71830</v>
      </c>
      <c r="N624" s="100"/>
      <c r="O624" s="45"/>
      <c r="P624" s="39"/>
      <c r="Q624" s="39"/>
      <c r="R624" s="39"/>
      <c r="S624" s="39"/>
      <c r="T624" s="39"/>
      <c r="U624" s="39"/>
      <c r="V624" s="39"/>
      <c r="W624" s="39"/>
      <c r="X624" s="39"/>
      <c r="Y624" s="39"/>
      <c r="Z624" s="39"/>
      <c r="AA624" s="39"/>
      <c r="AB624" s="39"/>
      <c r="AC624" s="39"/>
      <c r="AD624" s="39"/>
      <c r="AE624" s="39"/>
      <c r="AF624" s="39"/>
      <c r="AG624" s="39"/>
      <c r="AH624" s="39"/>
    </row>
    <row r="625" spans="1:34" s="84" customFormat="1" x14ac:dyDescent="0.25">
      <c r="A625" s="39" t="s">
        <v>959</v>
      </c>
      <c r="B625" s="46" t="s">
        <v>251</v>
      </c>
      <c r="C625" s="39" t="s">
        <v>930</v>
      </c>
      <c r="D625" s="102">
        <v>688769770</v>
      </c>
      <c r="E625" s="102">
        <v>9192416398</v>
      </c>
      <c r="F625" s="39" t="s">
        <v>256</v>
      </c>
      <c r="G625" s="81">
        <f>38080+(364+182)</f>
        <v>38626</v>
      </c>
      <c r="H625" s="50" t="str">
        <f t="shared" si="27"/>
        <v>Oct</v>
      </c>
      <c r="I625" s="51">
        <f t="shared" ca="1" si="28"/>
        <v>11</v>
      </c>
      <c r="J625" s="52" t="s">
        <v>257</v>
      </c>
      <c r="K625" s="53">
        <v>44530</v>
      </c>
      <c r="L625" s="54">
        <v>2</v>
      </c>
      <c r="M625" s="59">
        <f t="shared" si="29"/>
        <v>44530</v>
      </c>
      <c r="N625" s="100"/>
      <c r="O625" s="45"/>
      <c r="P625" s="39"/>
      <c r="Q625" s="39"/>
      <c r="R625" s="39"/>
      <c r="S625" s="39"/>
      <c r="T625" s="39"/>
      <c r="U625" s="39"/>
      <c r="V625" s="39"/>
      <c r="W625" s="39"/>
      <c r="X625" s="39"/>
      <c r="Y625" s="39"/>
      <c r="Z625" s="39"/>
      <c r="AA625" s="39"/>
      <c r="AB625" s="39"/>
      <c r="AC625" s="39"/>
      <c r="AD625" s="39"/>
      <c r="AE625" s="39"/>
      <c r="AF625" s="39"/>
      <c r="AG625" s="39"/>
      <c r="AH625" s="39"/>
    </row>
    <row r="626" spans="1:34" x14ac:dyDescent="0.25">
      <c r="A626" s="39" t="s">
        <v>1011</v>
      </c>
      <c r="B626" s="46" t="s">
        <v>245</v>
      </c>
      <c r="C626" s="39" t="s">
        <v>930</v>
      </c>
      <c r="D626" s="102">
        <v>502580266</v>
      </c>
      <c r="E626" s="102">
        <v>9197103200</v>
      </c>
      <c r="F626" s="39" t="s">
        <v>252</v>
      </c>
      <c r="G626" s="81">
        <f>38100+(364+182)</f>
        <v>38646</v>
      </c>
      <c r="H626" s="50" t="str">
        <f t="shared" si="27"/>
        <v>Oct</v>
      </c>
      <c r="I626" s="51">
        <f t="shared" ca="1" si="28"/>
        <v>11</v>
      </c>
      <c r="J626" s="52"/>
      <c r="K626" s="53">
        <v>37344</v>
      </c>
      <c r="L626" s="54">
        <v>2</v>
      </c>
      <c r="M626" s="59">
        <f t="shared" si="29"/>
        <v>37344</v>
      </c>
    </row>
    <row r="627" spans="1:34" x14ac:dyDescent="0.25">
      <c r="A627" s="39" t="s">
        <v>836</v>
      </c>
      <c r="B627" s="46" t="s">
        <v>285</v>
      </c>
      <c r="C627" s="39" t="s">
        <v>767</v>
      </c>
      <c r="D627" s="102">
        <v>161439267</v>
      </c>
      <c r="E627" s="102">
        <v>9197600603</v>
      </c>
      <c r="F627" s="39" t="s">
        <v>256</v>
      </c>
      <c r="G627" s="81">
        <f>38816+(364+182)</f>
        <v>39362</v>
      </c>
      <c r="H627" s="50" t="str">
        <f t="shared" si="27"/>
        <v>Oct</v>
      </c>
      <c r="I627" s="51">
        <f t="shared" ca="1" si="28"/>
        <v>9</v>
      </c>
      <c r="J627" s="52" t="s">
        <v>262</v>
      </c>
      <c r="K627" s="53">
        <v>42020</v>
      </c>
      <c r="L627" s="54">
        <v>5</v>
      </c>
      <c r="M627" s="59">
        <f t="shared" si="29"/>
        <v>42020</v>
      </c>
    </row>
    <row r="628" spans="1:34" x14ac:dyDescent="0.25">
      <c r="A628" s="39" t="s">
        <v>841</v>
      </c>
      <c r="B628" s="46" t="s">
        <v>280</v>
      </c>
      <c r="C628" s="39" t="s">
        <v>767</v>
      </c>
      <c r="D628" s="102">
        <v>486016972</v>
      </c>
      <c r="E628" s="102">
        <v>9194532398</v>
      </c>
      <c r="F628" s="39" t="s">
        <v>261</v>
      </c>
      <c r="G628" s="81">
        <f>39182+(364+182)</f>
        <v>39728</v>
      </c>
      <c r="H628" s="50" t="str">
        <f t="shared" si="27"/>
        <v>Oct</v>
      </c>
      <c r="I628" s="51">
        <f t="shared" ca="1" si="28"/>
        <v>8</v>
      </c>
      <c r="J628" s="52" t="s">
        <v>257</v>
      </c>
      <c r="K628" s="53">
        <v>45565</v>
      </c>
      <c r="L628" s="54">
        <v>1</v>
      </c>
      <c r="M628" s="59">
        <f t="shared" si="29"/>
        <v>45565</v>
      </c>
    </row>
    <row r="629" spans="1:34" x14ac:dyDescent="0.25">
      <c r="A629" s="39" t="s">
        <v>984</v>
      </c>
      <c r="B629" s="46" t="s">
        <v>285</v>
      </c>
      <c r="C629" s="39" t="s">
        <v>930</v>
      </c>
      <c r="D629" s="102">
        <v>458734969</v>
      </c>
      <c r="E629" s="102">
        <v>9196354278</v>
      </c>
      <c r="F629" s="39" t="s">
        <v>256</v>
      </c>
      <c r="G629" s="81">
        <f>39182+(364+182)</f>
        <v>39728</v>
      </c>
      <c r="H629" s="50" t="str">
        <f t="shared" si="27"/>
        <v>Oct</v>
      </c>
      <c r="I629" s="51">
        <f t="shared" ca="1" si="28"/>
        <v>8</v>
      </c>
      <c r="J629" s="52" t="s">
        <v>257</v>
      </c>
      <c r="K629" s="53">
        <v>82370</v>
      </c>
      <c r="L629" s="54">
        <v>5</v>
      </c>
      <c r="M629" s="59">
        <f t="shared" si="29"/>
        <v>82370</v>
      </c>
    </row>
    <row r="630" spans="1:34" x14ac:dyDescent="0.25">
      <c r="A630" s="39" t="s">
        <v>985</v>
      </c>
      <c r="B630" s="46" t="s">
        <v>245</v>
      </c>
      <c r="C630" s="39" t="s">
        <v>930</v>
      </c>
      <c r="D630" s="102">
        <v>667745362</v>
      </c>
      <c r="E630" s="102">
        <v>2522952173</v>
      </c>
      <c r="F630" s="39" t="s">
        <v>247</v>
      </c>
      <c r="G630" s="81">
        <f>39182+(364+182)</f>
        <v>39728</v>
      </c>
      <c r="H630" s="50" t="str">
        <f t="shared" si="27"/>
        <v>Oct</v>
      </c>
      <c r="I630" s="51">
        <f t="shared" ca="1" si="28"/>
        <v>8</v>
      </c>
      <c r="J630" s="52"/>
      <c r="K630" s="53">
        <v>86040</v>
      </c>
      <c r="L630" s="54">
        <v>5</v>
      </c>
      <c r="M630" s="59">
        <f t="shared" si="29"/>
        <v>86040</v>
      </c>
    </row>
    <row r="631" spans="1:34" x14ac:dyDescent="0.25">
      <c r="A631" s="39" t="s">
        <v>872</v>
      </c>
      <c r="B631" s="46" t="s">
        <v>285</v>
      </c>
      <c r="C631" s="39" t="s">
        <v>856</v>
      </c>
      <c r="D631" s="102">
        <v>826508763</v>
      </c>
      <c r="E631" s="102">
        <v>2526801348</v>
      </c>
      <c r="F631" s="39" t="s">
        <v>256</v>
      </c>
      <c r="G631" s="81">
        <f>39199+(364+182)</f>
        <v>39745</v>
      </c>
      <c r="H631" s="50" t="str">
        <f t="shared" si="27"/>
        <v>Oct</v>
      </c>
      <c r="I631" s="51">
        <f t="shared" ca="1" si="28"/>
        <v>8</v>
      </c>
      <c r="J631" s="52" t="s">
        <v>283</v>
      </c>
      <c r="K631" s="53">
        <v>29330</v>
      </c>
      <c r="L631" s="54">
        <v>5</v>
      </c>
      <c r="M631" s="59">
        <f t="shared" si="29"/>
        <v>29330</v>
      </c>
    </row>
    <row r="632" spans="1:34" x14ac:dyDescent="0.25">
      <c r="A632" s="39" t="s">
        <v>526</v>
      </c>
      <c r="B632" s="46" t="s">
        <v>266</v>
      </c>
      <c r="C632" s="39" t="s">
        <v>465</v>
      </c>
      <c r="D632" s="102">
        <v>484217278</v>
      </c>
      <c r="E632" s="102">
        <v>9195627374</v>
      </c>
      <c r="F632" s="39" t="s">
        <v>252</v>
      </c>
      <c r="G632" s="81">
        <f>39201+(364+182)</f>
        <v>39747</v>
      </c>
      <c r="H632" s="50" t="str">
        <f t="shared" si="27"/>
        <v>Oct</v>
      </c>
      <c r="I632" s="51">
        <f t="shared" ca="1" si="28"/>
        <v>8</v>
      </c>
      <c r="J632" s="52"/>
      <c r="K632" s="53">
        <v>10572</v>
      </c>
      <c r="L632" s="54">
        <v>4</v>
      </c>
      <c r="M632" s="59">
        <f t="shared" si="29"/>
        <v>10572</v>
      </c>
    </row>
    <row r="633" spans="1:34" x14ac:dyDescent="0.25">
      <c r="A633" s="39" t="s">
        <v>295</v>
      </c>
      <c r="B633" s="46" t="s">
        <v>245</v>
      </c>
      <c r="C633" s="39" t="s">
        <v>296</v>
      </c>
      <c r="D633" s="102">
        <v>460412180</v>
      </c>
      <c r="E633" s="102">
        <v>9196822349</v>
      </c>
      <c r="F633" s="39" t="s">
        <v>256</v>
      </c>
      <c r="G633" s="81">
        <f>39560+(364+182)</f>
        <v>40106</v>
      </c>
      <c r="H633" s="50" t="str">
        <f t="shared" si="27"/>
        <v>Oct</v>
      </c>
      <c r="I633" s="51">
        <f t="shared" ca="1" si="28"/>
        <v>7</v>
      </c>
      <c r="J633" s="52" t="s">
        <v>262</v>
      </c>
      <c r="K633" s="53">
        <v>51180</v>
      </c>
      <c r="L633" s="54">
        <v>3</v>
      </c>
      <c r="M633" s="59">
        <f t="shared" si="29"/>
        <v>51180</v>
      </c>
      <c r="N633" s="107"/>
    </row>
    <row r="634" spans="1:34" x14ac:dyDescent="0.25">
      <c r="A634" s="39" t="s">
        <v>724</v>
      </c>
      <c r="B634" s="46" t="s">
        <v>271</v>
      </c>
      <c r="C634" s="39" t="s">
        <v>705</v>
      </c>
      <c r="D634" s="102">
        <v>816607187</v>
      </c>
      <c r="E634" s="102">
        <v>9195520461</v>
      </c>
      <c r="F634" s="39" t="s">
        <v>252</v>
      </c>
      <c r="G634" s="103">
        <f>39906+(364+182)</f>
        <v>40452</v>
      </c>
      <c r="H634" s="50" t="str">
        <f t="shared" si="27"/>
        <v>Oct</v>
      </c>
      <c r="I634" s="51">
        <f t="shared" ca="1" si="28"/>
        <v>6</v>
      </c>
      <c r="J634" s="52"/>
      <c r="K634" s="53">
        <v>9180</v>
      </c>
      <c r="L634" s="54">
        <v>3</v>
      </c>
      <c r="M634" s="59">
        <f t="shared" si="29"/>
        <v>9180</v>
      </c>
    </row>
    <row r="635" spans="1:34" x14ac:dyDescent="0.25">
      <c r="A635" s="39" t="s">
        <v>745</v>
      </c>
      <c r="B635" s="46" t="s">
        <v>251</v>
      </c>
      <c r="C635" s="39" t="s">
        <v>705</v>
      </c>
      <c r="D635" s="102">
        <v>719165738</v>
      </c>
      <c r="E635" s="102">
        <v>9195750692</v>
      </c>
      <c r="F635" s="39" t="s">
        <v>247</v>
      </c>
      <c r="G635" s="81">
        <f>39922+(364+182)</f>
        <v>40468</v>
      </c>
      <c r="H635" s="50" t="str">
        <f t="shared" si="27"/>
        <v>Oct</v>
      </c>
      <c r="I635" s="51">
        <f t="shared" ca="1" si="28"/>
        <v>6</v>
      </c>
      <c r="J635" s="52"/>
      <c r="K635" s="53">
        <v>39440</v>
      </c>
      <c r="L635" s="54">
        <v>4</v>
      </c>
      <c r="M635" s="59">
        <f t="shared" si="29"/>
        <v>39440</v>
      </c>
    </row>
    <row r="636" spans="1:34" x14ac:dyDescent="0.25">
      <c r="A636" s="39" t="s">
        <v>443</v>
      </c>
      <c r="B636" s="46" t="s">
        <v>285</v>
      </c>
      <c r="C636" s="39" t="s">
        <v>417</v>
      </c>
      <c r="D636" s="102">
        <v>536516131</v>
      </c>
      <c r="E636" s="102">
        <v>2524442207</v>
      </c>
      <c r="F636" s="39" t="s">
        <v>256</v>
      </c>
      <c r="G636" s="81">
        <f>39924+(364+182)</f>
        <v>40470</v>
      </c>
      <c r="H636" s="50" t="str">
        <f t="shared" si="27"/>
        <v>Oct</v>
      </c>
      <c r="I636" s="51">
        <f t="shared" ca="1" si="28"/>
        <v>6</v>
      </c>
      <c r="J636" s="52" t="s">
        <v>283</v>
      </c>
      <c r="K636" s="53">
        <v>42620</v>
      </c>
      <c r="L636" s="54">
        <v>3</v>
      </c>
      <c r="M636" s="59">
        <f t="shared" si="29"/>
        <v>42620</v>
      </c>
    </row>
    <row r="637" spans="1:34" x14ac:dyDescent="0.25">
      <c r="A637" s="39" t="s">
        <v>563</v>
      </c>
      <c r="B637" s="46" t="s">
        <v>271</v>
      </c>
      <c r="C637" s="39" t="s">
        <v>465</v>
      </c>
      <c r="D637" s="102">
        <v>995858336</v>
      </c>
      <c r="E637" s="102">
        <v>2525035104</v>
      </c>
      <c r="F637" s="39" t="s">
        <v>247</v>
      </c>
      <c r="G637" s="81">
        <f>39924+(364+182)</f>
        <v>40470</v>
      </c>
      <c r="H637" s="50" t="str">
        <f t="shared" si="27"/>
        <v>Oct</v>
      </c>
      <c r="I637" s="51">
        <f t="shared" ca="1" si="28"/>
        <v>6</v>
      </c>
      <c r="J637" s="52"/>
      <c r="K637" s="53">
        <v>37840</v>
      </c>
      <c r="L637" s="54">
        <v>1</v>
      </c>
      <c r="M637" s="59">
        <f t="shared" si="29"/>
        <v>37840</v>
      </c>
    </row>
    <row r="638" spans="1:34" x14ac:dyDescent="0.25">
      <c r="A638" s="39" t="s">
        <v>769</v>
      </c>
      <c r="B638" s="46" t="s">
        <v>285</v>
      </c>
      <c r="C638" s="39" t="s">
        <v>767</v>
      </c>
      <c r="D638" s="102">
        <v>449987941</v>
      </c>
      <c r="E638" s="102">
        <v>2528742282</v>
      </c>
      <c r="F638" s="39" t="s">
        <v>256</v>
      </c>
      <c r="G638" s="81">
        <f>39931+(364+182)</f>
        <v>40477</v>
      </c>
      <c r="H638" s="50" t="str">
        <f t="shared" si="27"/>
        <v>Oct</v>
      </c>
      <c r="I638" s="51">
        <f t="shared" ca="1" si="28"/>
        <v>6</v>
      </c>
      <c r="J638" s="52" t="s">
        <v>267</v>
      </c>
      <c r="K638" s="53">
        <v>63206</v>
      </c>
      <c r="L638" s="54">
        <v>1</v>
      </c>
      <c r="M638" s="59">
        <f t="shared" si="29"/>
        <v>63206</v>
      </c>
    </row>
    <row r="639" spans="1:34" x14ac:dyDescent="0.25">
      <c r="A639" s="39" t="s">
        <v>760</v>
      </c>
      <c r="B639" s="46" t="s">
        <v>266</v>
      </c>
      <c r="C639" s="39" t="s">
        <v>750</v>
      </c>
      <c r="D639" s="102">
        <v>710460589</v>
      </c>
      <c r="E639" s="102">
        <v>2526104400</v>
      </c>
      <c r="F639" s="39" t="s">
        <v>256</v>
      </c>
      <c r="G639" s="81">
        <f>32633+(364+182)</f>
        <v>33179</v>
      </c>
      <c r="H639" s="50" t="str">
        <f t="shared" si="27"/>
        <v>Nov</v>
      </c>
      <c r="I639" s="51">
        <f t="shared" ca="1" si="28"/>
        <v>26</v>
      </c>
      <c r="J639" s="52" t="s">
        <v>283</v>
      </c>
      <c r="K639" s="53">
        <v>43110</v>
      </c>
      <c r="L639" s="54">
        <v>2</v>
      </c>
      <c r="M639" s="59">
        <f t="shared" si="29"/>
        <v>43110</v>
      </c>
    </row>
    <row r="640" spans="1:34" x14ac:dyDescent="0.25">
      <c r="A640" s="39" t="s">
        <v>403</v>
      </c>
      <c r="B640" s="46" t="s">
        <v>285</v>
      </c>
      <c r="C640" s="39" t="s">
        <v>391</v>
      </c>
      <c r="D640" s="102">
        <v>828996583</v>
      </c>
      <c r="E640" s="102">
        <v>2521282202</v>
      </c>
      <c r="F640" s="39" t="s">
        <v>252</v>
      </c>
      <c r="G640" s="81">
        <f>32637+(364+182)</f>
        <v>33183</v>
      </c>
      <c r="H640" s="50" t="str">
        <f t="shared" si="27"/>
        <v>Nov</v>
      </c>
      <c r="I640" s="51">
        <f t="shared" ca="1" si="28"/>
        <v>26</v>
      </c>
      <c r="J640" s="52"/>
      <c r="K640" s="53">
        <v>14712</v>
      </c>
      <c r="L640" s="54">
        <v>5</v>
      </c>
      <c r="M640" s="59">
        <f t="shared" si="29"/>
        <v>14712</v>
      </c>
    </row>
    <row r="641" spans="1:34" x14ac:dyDescent="0.25">
      <c r="A641" s="39" t="s">
        <v>755</v>
      </c>
      <c r="B641" s="46" t="s">
        <v>285</v>
      </c>
      <c r="C641" s="39" t="s">
        <v>750</v>
      </c>
      <c r="D641" s="102">
        <v>174483231</v>
      </c>
      <c r="E641" s="102">
        <v>9196733291</v>
      </c>
      <c r="F641" s="39" t="s">
        <v>256</v>
      </c>
      <c r="G641" s="81">
        <f>32640+(364+182)</f>
        <v>33186</v>
      </c>
      <c r="H641" s="50" t="str">
        <f t="shared" si="27"/>
        <v>Nov</v>
      </c>
      <c r="I641" s="51">
        <f t="shared" ca="1" si="28"/>
        <v>26</v>
      </c>
      <c r="J641" s="52" t="s">
        <v>257</v>
      </c>
      <c r="K641" s="53">
        <v>40940</v>
      </c>
      <c r="L641" s="54">
        <v>3</v>
      </c>
      <c r="M641" s="59">
        <f t="shared" si="29"/>
        <v>40940</v>
      </c>
    </row>
    <row r="642" spans="1:34" s="84" customFormat="1" x14ac:dyDescent="0.25">
      <c r="A642" s="39" t="s">
        <v>942</v>
      </c>
      <c r="B642" s="46" t="s">
        <v>271</v>
      </c>
      <c r="C642" s="39" t="s">
        <v>930</v>
      </c>
      <c r="D642" s="102">
        <v>918436287</v>
      </c>
      <c r="E642" s="102">
        <v>2528238755</v>
      </c>
      <c r="F642" s="39" t="s">
        <v>247</v>
      </c>
      <c r="G642" s="81">
        <f>32647+(364+182)</f>
        <v>33193</v>
      </c>
      <c r="H642" s="50" t="str">
        <f t="shared" si="27"/>
        <v>Nov</v>
      </c>
      <c r="I642" s="51">
        <f t="shared" ca="1" si="28"/>
        <v>26</v>
      </c>
      <c r="J642" s="52"/>
      <c r="K642" s="53">
        <v>63610</v>
      </c>
      <c r="L642" s="54">
        <v>5</v>
      </c>
      <c r="M642" s="59">
        <f t="shared" si="29"/>
        <v>63610</v>
      </c>
      <c r="N642" s="100"/>
      <c r="O642" s="45"/>
      <c r="P642" s="39"/>
      <c r="Q642" s="39"/>
      <c r="R642" s="39"/>
      <c r="S642" s="39"/>
      <c r="T642" s="39"/>
      <c r="U642" s="39"/>
      <c r="V642" s="39"/>
      <c r="W642" s="39"/>
      <c r="X642" s="39"/>
      <c r="Y642" s="39"/>
      <c r="Z642" s="39"/>
      <c r="AA642" s="39"/>
      <c r="AB642" s="39"/>
      <c r="AC642" s="39"/>
      <c r="AD642" s="39"/>
      <c r="AE642" s="39"/>
      <c r="AF642" s="39"/>
      <c r="AG642" s="39"/>
      <c r="AH642" s="39"/>
    </row>
    <row r="643" spans="1:34" s="84" customFormat="1" x14ac:dyDescent="0.25">
      <c r="A643" s="39" t="s">
        <v>904</v>
      </c>
      <c r="B643" s="46" t="s">
        <v>266</v>
      </c>
      <c r="C643" s="39" t="s">
        <v>856</v>
      </c>
      <c r="D643" s="102">
        <v>781472289</v>
      </c>
      <c r="E643" s="102">
        <v>2528502926</v>
      </c>
      <c r="F643" s="39" t="s">
        <v>256</v>
      </c>
      <c r="G643" s="81">
        <f>33002+(364+182)</f>
        <v>33548</v>
      </c>
      <c r="H643" s="50" t="str">
        <f t="shared" ref="H643:H706" si="30">CHOOSE(MONTH(G643),"Jan","Feb","Mar","Apr","May","Jun","Jul","Aug","Sep","Oct","Nov","Dec")</f>
        <v>Nov</v>
      </c>
      <c r="I643" s="51">
        <f t="shared" ref="I643:I706" ca="1" si="31">DATEDIF(G643,TODAY(),"Y")</f>
        <v>25</v>
      </c>
      <c r="J643" s="52" t="s">
        <v>283</v>
      </c>
      <c r="K643" s="53">
        <v>63050</v>
      </c>
      <c r="L643" s="54">
        <v>3</v>
      </c>
      <c r="M643" s="59">
        <f t="shared" ref="M643:M706" si="32">ROUND(K643*P641+K643,0)</f>
        <v>63050</v>
      </c>
      <c r="N643" s="100"/>
      <c r="O643" s="45"/>
      <c r="P643" s="39"/>
      <c r="Q643" s="39"/>
      <c r="R643" s="39"/>
      <c r="S643" s="39"/>
      <c r="T643" s="39"/>
      <c r="U643" s="39"/>
      <c r="V643" s="39"/>
      <c r="W643" s="39"/>
      <c r="X643" s="39"/>
      <c r="Y643" s="39"/>
      <c r="Z643" s="39"/>
      <c r="AA643" s="39"/>
      <c r="AB643" s="39"/>
      <c r="AC643" s="39"/>
      <c r="AD643" s="39"/>
      <c r="AE643" s="39"/>
      <c r="AF643" s="39"/>
      <c r="AG643" s="39"/>
      <c r="AH643" s="39"/>
    </row>
    <row r="644" spans="1:34" s="84" customFormat="1" x14ac:dyDescent="0.25">
      <c r="A644" s="39" t="s">
        <v>305</v>
      </c>
      <c r="B644" s="46" t="s">
        <v>245</v>
      </c>
      <c r="C644" s="39" t="s">
        <v>296</v>
      </c>
      <c r="D644" s="102">
        <v>963028490</v>
      </c>
      <c r="E644" s="102">
        <v>2524383168</v>
      </c>
      <c r="F644" s="39" t="s">
        <v>256</v>
      </c>
      <c r="G644" s="81">
        <f>33005+(364+182)</f>
        <v>33551</v>
      </c>
      <c r="H644" s="50" t="str">
        <f t="shared" si="30"/>
        <v>Nov</v>
      </c>
      <c r="I644" s="51">
        <f t="shared" ca="1" si="31"/>
        <v>25</v>
      </c>
      <c r="J644" s="52" t="s">
        <v>262</v>
      </c>
      <c r="K644" s="53">
        <v>41350</v>
      </c>
      <c r="L644" s="54">
        <v>2</v>
      </c>
      <c r="M644" s="59">
        <f t="shared" si="32"/>
        <v>41350</v>
      </c>
      <c r="N644" s="100"/>
      <c r="O644" s="45"/>
      <c r="P644" s="39"/>
      <c r="Q644" s="39"/>
      <c r="R644" s="39"/>
      <c r="S644" s="39"/>
      <c r="T644" s="39"/>
      <c r="U644" s="39"/>
      <c r="V644" s="39"/>
      <c r="W644" s="39"/>
      <c r="X644" s="39"/>
      <c r="Y644" s="39"/>
      <c r="Z644" s="39"/>
      <c r="AA644" s="39"/>
      <c r="AB644" s="39"/>
      <c r="AC644" s="39"/>
      <c r="AD644" s="39"/>
      <c r="AE644" s="39"/>
      <c r="AF644" s="39"/>
      <c r="AG644" s="39"/>
      <c r="AH644" s="39"/>
    </row>
    <row r="645" spans="1:34" s="84" customFormat="1" x14ac:dyDescent="0.25">
      <c r="A645" s="39" t="s">
        <v>968</v>
      </c>
      <c r="B645" s="46" t="s">
        <v>285</v>
      </c>
      <c r="C645" s="39" t="s">
        <v>930</v>
      </c>
      <c r="D645" s="102">
        <v>144722757</v>
      </c>
      <c r="E645" s="102">
        <v>9196060038</v>
      </c>
      <c r="F645" s="39" t="s">
        <v>247</v>
      </c>
      <c r="G645" s="81">
        <f>33016+(364+182)</f>
        <v>33562</v>
      </c>
      <c r="H645" s="50" t="str">
        <f t="shared" si="30"/>
        <v>Nov</v>
      </c>
      <c r="I645" s="51">
        <f t="shared" ca="1" si="31"/>
        <v>24</v>
      </c>
      <c r="J645" s="52"/>
      <c r="K645" s="53">
        <v>57500</v>
      </c>
      <c r="L645" s="54">
        <v>1</v>
      </c>
      <c r="M645" s="59">
        <f t="shared" si="32"/>
        <v>57500</v>
      </c>
      <c r="N645" s="100"/>
      <c r="O645" s="45"/>
      <c r="P645" s="39"/>
      <c r="Q645" s="39"/>
      <c r="R645" s="39"/>
      <c r="S645" s="39"/>
      <c r="T645" s="39"/>
      <c r="U645" s="39"/>
      <c r="V645" s="39"/>
      <c r="W645" s="39"/>
      <c r="X645" s="39"/>
      <c r="Y645" s="39"/>
      <c r="Z645" s="39"/>
      <c r="AA645" s="39"/>
      <c r="AB645" s="39"/>
      <c r="AC645" s="39"/>
      <c r="AD645" s="39"/>
      <c r="AE645" s="39"/>
      <c r="AF645" s="39"/>
      <c r="AG645" s="39"/>
      <c r="AH645" s="39"/>
    </row>
    <row r="646" spans="1:34" s="84" customFormat="1" x14ac:dyDescent="0.25">
      <c r="A646" s="39" t="s">
        <v>908</v>
      </c>
      <c r="B646" s="46" t="s">
        <v>285</v>
      </c>
      <c r="C646" s="39" t="s">
        <v>856</v>
      </c>
      <c r="D646" s="102">
        <v>195772503</v>
      </c>
      <c r="E646" s="102">
        <v>9193123940</v>
      </c>
      <c r="F646" s="39" t="s">
        <v>247</v>
      </c>
      <c r="G646" s="81">
        <f>33368+(364+182)</f>
        <v>33914</v>
      </c>
      <c r="H646" s="50" t="str">
        <f t="shared" si="30"/>
        <v>Nov</v>
      </c>
      <c r="I646" s="51">
        <f t="shared" ca="1" si="31"/>
        <v>24</v>
      </c>
      <c r="J646" s="52"/>
      <c r="K646" s="53">
        <v>55690</v>
      </c>
      <c r="L646" s="54">
        <v>2</v>
      </c>
      <c r="M646" s="59">
        <f t="shared" si="32"/>
        <v>55690</v>
      </c>
      <c r="N646" s="100"/>
      <c r="O646" s="45"/>
      <c r="P646" s="39"/>
      <c r="Q646" s="39"/>
      <c r="R646" s="39"/>
      <c r="S646" s="39"/>
      <c r="T646" s="39"/>
      <c r="U646" s="39"/>
      <c r="V646" s="39"/>
      <c r="W646" s="39"/>
      <c r="X646" s="39"/>
      <c r="Y646" s="39"/>
      <c r="Z646" s="39"/>
      <c r="AA646" s="39"/>
      <c r="AB646" s="39"/>
      <c r="AC646" s="39"/>
      <c r="AD646" s="39"/>
      <c r="AE646" s="39"/>
      <c r="AF646" s="39"/>
      <c r="AG646" s="39"/>
      <c r="AH646" s="39"/>
    </row>
    <row r="647" spans="1:34" s="84" customFormat="1" x14ac:dyDescent="0.25">
      <c r="A647" s="39" t="s">
        <v>1003</v>
      </c>
      <c r="B647" s="46" t="s">
        <v>266</v>
      </c>
      <c r="C647" s="39" t="s">
        <v>930</v>
      </c>
      <c r="D647" s="102">
        <v>616055292</v>
      </c>
      <c r="E647" s="102">
        <v>9192913490</v>
      </c>
      <c r="F647" s="39" t="s">
        <v>256</v>
      </c>
      <c r="G647" s="81">
        <f>33375+(364+182)</f>
        <v>33921</v>
      </c>
      <c r="H647" s="50" t="str">
        <f t="shared" si="30"/>
        <v>Nov</v>
      </c>
      <c r="I647" s="51">
        <f t="shared" ca="1" si="31"/>
        <v>24</v>
      </c>
      <c r="J647" s="52" t="s">
        <v>267</v>
      </c>
      <c r="K647" s="53">
        <v>32160</v>
      </c>
      <c r="L647" s="54">
        <v>3</v>
      </c>
      <c r="M647" s="59">
        <f t="shared" si="32"/>
        <v>32160</v>
      </c>
      <c r="N647" s="100"/>
      <c r="O647" s="45"/>
      <c r="P647" s="39"/>
      <c r="Q647" s="39"/>
      <c r="R647" s="39"/>
      <c r="S647" s="39"/>
      <c r="T647" s="39"/>
      <c r="U647" s="39"/>
      <c r="V647" s="39"/>
      <c r="W647" s="39"/>
      <c r="X647" s="39"/>
      <c r="Y647" s="39"/>
      <c r="Z647" s="39"/>
      <c r="AA647" s="39"/>
      <c r="AB647" s="39"/>
      <c r="AC647" s="39"/>
      <c r="AD647" s="39"/>
      <c r="AE647" s="39"/>
      <c r="AF647" s="39"/>
      <c r="AG647" s="39"/>
      <c r="AH647" s="39"/>
    </row>
    <row r="648" spans="1:34" s="84" customFormat="1" x14ac:dyDescent="0.25">
      <c r="A648" s="39" t="s">
        <v>434</v>
      </c>
      <c r="B648" s="46" t="s">
        <v>251</v>
      </c>
      <c r="C648" s="39" t="s">
        <v>417</v>
      </c>
      <c r="D648" s="102">
        <v>993867417</v>
      </c>
      <c r="E648" s="102">
        <v>2522338778</v>
      </c>
      <c r="F648" s="39" t="s">
        <v>256</v>
      </c>
      <c r="G648" s="81">
        <f>33377+(364+182)</f>
        <v>33923</v>
      </c>
      <c r="H648" s="50" t="str">
        <f t="shared" si="30"/>
        <v>Nov</v>
      </c>
      <c r="I648" s="51">
        <f t="shared" ca="1" si="31"/>
        <v>24</v>
      </c>
      <c r="J648" s="52" t="s">
        <v>283</v>
      </c>
      <c r="K648" s="53">
        <v>46340</v>
      </c>
      <c r="L648" s="54">
        <v>5</v>
      </c>
      <c r="M648" s="59">
        <f t="shared" si="32"/>
        <v>46340</v>
      </c>
      <c r="N648" s="100"/>
      <c r="O648" s="45"/>
      <c r="P648" s="39"/>
      <c r="Q648" s="39"/>
      <c r="R648" s="39"/>
      <c r="S648" s="39"/>
      <c r="T648" s="39"/>
      <c r="U648" s="39"/>
      <c r="V648" s="39"/>
      <c r="W648" s="39"/>
      <c r="X648" s="39"/>
      <c r="Y648" s="39"/>
      <c r="Z648" s="39"/>
      <c r="AA648" s="39"/>
      <c r="AB648" s="39"/>
      <c r="AC648" s="39"/>
      <c r="AD648" s="39"/>
      <c r="AE648" s="39"/>
      <c r="AF648" s="39"/>
      <c r="AG648" s="39"/>
      <c r="AH648" s="39"/>
    </row>
    <row r="649" spans="1:34" s="84" customFormat="1" x14ac:dyDescent="0.25">
      <c r="A649" s="39" t="s">
        <v>744</v>
      </c>
      <c r="B649" s="46" t="s">
        <v>285</v>
      </c>
      <c r="C649" s="39" t="s">
        <v>705</v>
      </c>
      <c r="D649" s="102">
        <v>881242432</v>
      </c>
      <c r="E649" s="102">
        <v>9193957018</v>
      </c>
      <c r="F649" s="39" t="s">
        <v>256</v>
      </c>
      <c r="G649" s="81">
        <f>33382+(364+182)</f>
        <v>33928</v>
      </c>
      <c r="H649" s="50" t="str">
        <f t="shared" si="30"/>
        <v>Nov</v>
      </c>
      <c r="I649" s="51">
        <f t="shared" ca="1" si="31"/>
        <v>23</v>
      </c>
      <c r="J649" s="52" t="s">
        <v>262</v>
      </c>
      <c r="K649" s="53">
        <v>68010</v>
      </c>
      <c r="L649" s="54">
        <v>1</v>
      </c>
      <c r="M649" s="59">
        <f t="shared" si="32"/>
        <v>68010</v>
      </c>
      <c r="N649" s="100"/>
      <c r="O649" s="45"/>
      <c r="P649" s="39"/>
      <c r="Q649" s="39"/>
      <c r="R649" s="39"/>
      <c r="S649" s="39"/>
      <c r="T649" s="39"/>
      <c r="U649" s="39"/>
      <c r="V649" s="39"/>
      <c r="W649" s="39"/>
      <c r="X649" s="39"/>
      <c r="Y649" s="39"/>
      <c r="Z649" s="39"/>
      <c r="AA649" s="39"/>
      <c r="AB649" s="39"/>
      <c r="AC649" s="39"/>
      <c r="AD649" s="39"/>
      <c r="AE649" s="39"/>
      <c r="AF649" s="39"/>
      <c r="AG649" s="39"/>
      <c r="AH649" s="39"/>
    </row>
    <row r="650" spans="1:34" s="84" customFormat="1" x14ac:dyDescent="0.25">
      <c r="A650" s="39" t="s">
        <v>928</v>
      </c>
      <c r="B650" s="46" t="s">
        <v>271</v>
      </c>
      <c r="C650" s="39" t="s">
        <v>856</v>
      </c>
      <c r="D650" s="102">
        <v>272659955</v>
      </c>
      <c r="E650" s="102">
        <v>9194127875</v>
      </c>
      <c r="F650" s="39" t="s">
        <v>256</v>
      </c>
      <c r="G650" s="81">
        <f>33739+(364+182)</f>
        <v>34285</v>
      </c>
      <c r="H650" s="50" t="str">
        <f t="shared" si="30"/>
        <v>Nov</v>
      </c>
      <c r="I650" s="51">
        <f t="shared" ca="1" si="31"/>
        <v>23</v>
      </c>
      <c r="J650" s="52" t="s">
        <v>267</v>
      </c>
      <c r="K650" s="53">
        <v>48490</v>
      </c>
      <c r="L650" s="54">
        <v>2</v>
      </c>
      <c r="M650" s="59">
        <f t="shared" si="32"/>
        <v>48490</v>
      </c>
      <c r="N650" s="100"/>
      <c r="O650" s="45"/>
      <c r="P650" s="39"/>
      <c r="Q650" s="39"/>
      <c r="R650" s="39"/>
      <c r="S650" s="39"/>
      <c r="T650" s="39"/>
      <c r="U650" s="39"/>
      <c r="V650" s="39"/>
      <c r="W650" s="39"/>
      <c r="X650" s="39"/>
      <c r="Y650" s="39"/>
      <c r="Z650" s="39"/>
      <c r="AA650" s="39"/>
      <c r="AB650" s="39"/>
      <c r="AC650" s="39"/>
      <c r="AD650" s="39"/>
      <c r="AE650" s="39"/>
      <c r="AF650" s="39"/>
      <c r="AG650" s="39"/>
      <c r="AH650" s="39"/>
    </row>
    <row r="651" spans="1:34" s="84" customFormat="1" x14ac:dyDescent="0.25">
      <c r="A651" s="39" t="s">
        <v>1006</v>
      </c>
      <c r="B651" s="46" t="s">
        <v>285</v>
      </c>
      <c r="C651" s="39" t="s">
        <v>930</v>
      </c>
      <c r="D651" s="102">
        <v>892040187</v>
      </c>
      <c r="E651" s="102">
        <v>2524877123</v>
      </c>
      <c r="F651" s="39" t="s">
        <v>256</v>
      </c>
      <c r="G651" s="81">
        <f>33740+(364+182)</f>
        <v>34286</v>
      </c>
      <c r="H651" s="50" t="str">
        <f t="shared" si="30"/>
        <v>Nov</v>
      </c>
      <c r="I651" s="51">
        <f t="shared" ca="1" si="31"/>
        <v>23</v>
      </c>
      <c r="J651" s="52" t="s">
        <v>283</v>
      </c>
      <c r="K651" s="53">
        <v>87220</v>
      </c>
      <c r="L651" s="54">
        <v>1</v>
      </c>
      <c r="M651" s="59">
        <f t="shared" si="32"/>
        <v>87220</v>
      </c>
      <c r="N651" s="100"/>
      <c r="O651" s="45"/>
      <c r="P651" s="39"/>
      <c r="Q651" s="39"/>
      <c r="R651" s="39"/>
      <c r="S651" s="39"/>
      <c r="T651" s="39"/>
      <c r="U651" s="39"/>
      <c r="V651" s="39"/>
      <c r="W651" s="39"/>
      <c r="X651" s="39"/>
      <c r="Y651" s="39"/>
      <c r="Z651" s="39"/>
      <c r="AA651" s="39"/>
      <c r="AB651" s="39"/>
      <c r="AC651" s="39"/>
      <c r="AD651" s="39"/>
      <c r="AE651" s="39"/>
      <c r="AF651" s="39"/>
      <c r="AG651" s="39"/>
      <c r="AH651" s="39"/>
    </row>
    <row r="652" spans="1:34" s="84" customFormat="1" x14ac:dyDescent="0.25">
      <c r="A652" s="39" t="s">
        <v>304</v>
      </c>
      <c r="B652" s="46" t="s">
        <v>285</v>
      </c>
      <c r="C652" s="39" t="s">
        <v>296</v>
      </c>
      <c r="D652" s="102">
        <v>237359447</v>
      </c>
      <c r="E652" s="102">
        <v>9195882405</v>
      </c>
      <c r="F652" s="39" t="s">
        <v>256</v>
      </c>
      <c r="G652" s="81">
        <f>33755+(364+182)</f>
        <v>34301</v>
      </c>
      <c r="H652" s="50" t="str">
        <f t="shared" si="30"/>
        <v>Nov</v>
      </c>
      <c r="I652" s="51">
        <f t="shared" ca="1" si="31"/>
        <v>22</v>
      </c>
      <c r="J652" s="52" t="s">
        <v>257</v>
      </c>
      <c r="K652" s="53">
        <v>73440</v>
      </c>
      <c r="L652" s="54">
        <v>1</v>
      </c>
      <c r="M652" s="59">
        <f t="shared" si="32"/>
        <v>73440</v>
      </c>
      <c r="N652" s="100"/>
      <c r="O652" s="45"/>
      <c r="P652" s="39"/>
      <c r="Q652" s="39"/>
      <c r="R652" s="39"/>
      <c r="S652" s="39"/>
      <c r="T652" s="39"/>
      <c r="U652" s="39"/>
      <c r="V652" s="39"/>
      <c r="W652" s="39"/>
      <c r="X652" s="39"/>
      <c r="Y652" s="39"/>
      <c r="Z652" s="39"/>
      <c r="AA652" s="39"/>
      <c r="AB652" s="39"/>
      <c r="AC652" s="39"/>
      <c r="AD652" s="39"/>
      <c r="AE652" s="39"/>
      <c r="AF652" s="39"/>
      <c r="AG652" s="39"/>
      <c r="AH652" s="39"/>
    </row>
    <row r="653" spans="1:34" s="84" customFormat="1" x14ac:dyDescent="0.25">
      <c r="A653" s="39" t="s">
        <v>370</v>
      </c>
      <c r="B653" s="46" t="s">
        <v>285</v>
      </c>
      <c r="C653" s="39" t="s">
        <v>312</v>
      </c>
      <c r="D653" s="102">
        <v>644862142</v>
      </c>
      <c r="E653" s="102">
        <v>9193274978</v>
      </c>
      <c r="F653" s="39" t="s">
        <v>247</v>
      </c>
      <c r="G653" s="81">
        <f>34105+(364+182)</f>
        <v>34651</v>
      </c>
      <c r="H653" s="50" t="str">
        <f t="shared" si="30"/>
        <v>Nov</v>
      </c>
      <c r="I653" s="51">
        <f t="shared" ca="1" si="31"/>
        <v>22</v>
      </c>
      <c r="J653" s="52"/>
      <c r="K653" s="53">
        <v>46670</v>
      </c>
      <c r="L653" s="54">
        <v>3</v>
      </c>
      <c r="M653" s="59">
        <f t="shared" si="32"/>
        <v>46670</v>
      </c>
      <c r="N653" s="100"/>
      <c r="O653" s="45"/>
      <c r="P653" s="39"/>
      <c r="Q653" s="39"/>
      <c r="R653" s="39"/>
      <c r="S653" s="39"/>
      <c r="T653" s="39"/>
      <c r="U653" s="39"/>
      <c r="V653" s="39"/>
      <c r="W653" s="39"/>
      <c r="X653" s="39"/>
      <c r="Y653" s="39"/>
      <c r="Z653" s="39"/>
      <c r="AA653" s="39"/>
      <c r="AB653" s="39"/>
      <c r="AC653" s="39"/>
      <c r="AD653" s="39"/>
      <c r="AE653" s="39"/>
      <c r="AF653" s="39"/>
      <c r="AG653" s="39"/>
      <c r="AH653" s="39"/>
    </row>
    <row r="654" spans="1:34" s="84" customFormat="1" x14ac:dyDescent="0.25">
      <c r="A654" s="39" t="s">
        <v>810</v>
      </c>
      <c r="B654" s="46" t="s">
        <v>285</v>
      </c>
      <c r="C654" s="39" t="s">
        <v>767</v>
      </c>
      <c r="D654" s="102">
        <v>933883118</v>
      </c>
      <c r="E654" s="102">
        <v>2523294956</v>
      </c>
      <c r="F654" s="39" t="s">
        <v>247</v>
      </c>
      <c r="G654" s="81">
        <f>34112+(364+182)</f>
        <v>34658</v>
      </c>
      <c r="H654" s="50" t="str">
        <f t="shared" si="30"/>
        <v>Nov</v>
      </c>
      <c r="I654" s="51">
        <f t="shared" ca="1" si="31"/>
        <v>21</v>
      </c>
      <c r="J654" s="52"/>
      <c r="K654" s="53">
        <v>85980</v>
      </c>
      <c r="L654" s="54">
        <v>2</v>
      </c>
      <c r="M654" s="59">
        <f t="shared" si="32"/>
        <v>85980</v>
      </c>
      <c r="N654" s="100"/>
      <c r="O654" s="45"/>
      <c r="P654" s="39"/>
      <c r="Q654" s="39"/>
      <c r="R654" s="39"/>
      <c r="S654" s="39"/>
      <c r="T654" s="39"/>
      <c r="U654" s="39"/>
      <c r="V654" s="39"/>
      <c r="W654" s="39"/>
      <c r="X654" s="39"/>
      <c r="Y654" s="39"/>
      <c r="Z654" s="39"/>
      <c r="AA654" s="39"/>
      <c r="AB654" s="39"/>
      <c r="AC654" s="39"/>
      <c r="AD654" s="39"/>
      <c r="AE654" s="39"/>
      <c r="AF654" s="39"/>
      <c r="AG654" s="39"/>
      <c r="AH654" s="39"/>
    </row>
    <row r="655" spans="1:34" s="84" customFormat="1" x14ac:dyDescent="0.25">
      <c r="A655" s="39" t="s">
        <v>611</v>
      </c>
      <c r="B655" s="46" t="s">
        <v>245</v>
      </c>
      <c r="C655" s="39" t="s">
        <v>465</v>
      </c>
      <c r="D655" s="102">
        <v>566726453</v>
      </c>
      <c r="E655" s="102">
        <v>9192168237</v>
      </c>
      <c r="F655" s="39" t="s">
        <v>256</v>
      </c>
      <c r="G655" s="81">
        <f>34474+(364+182)</f>
        <v>35020</v>
      </c>
      <c r="H655" s="50" t="str">
        <f t="shared" si="30"/>
        <v>Nov</v>
      </c>
      <c r="I655" s="51">
        <f t="shared" ca="1" si="31"/>
        <v>20</v>
      </c>
      <c r="J655" s="52" t="s">
        <v>262</v>
      </c>
      <c r="K655" s="53">
        <v>38940</v>
      </c>
      <c r="L655" s="54">
        <v>2</v>
      </c>
      <c r="M655" s="59">
        <f t="shared" si="32"/>
        <v>38940</v>
      </c>
      <c r="N655" s="100"/>
      <c r="O655" s="45"/>
      <c r="P655" s="39"/>
      <c r="Q655" s="39"/>
      <c r="R655" s="39"/>
      <c r="S655" s="39"/>
      <c r="T655" s="39"/>
      <c r="U655" s="39"/>
      <c r="V655" s="39"/>
      <c r="W655" s="39"/>
      <c r="X655" s="39"/>
      <c r="Y655" s="39"/>
      <c r="Z655" s="39"/>
      <c r="AA655" s="39"/>
      <c r="AB655" s="39"/>
      <c r="AC655" s="39"/>
      <c r="AD655" s="39"/>
      <c r="AE655" s="39"/>
      <c r="AF655" s="39"/>
      <c r="AG655" s="39"/>
      <c r="AH655" s="39"/>
    </row>
    <row r="656" spans="1:34" s="84" customFormat="1" x14ac:dyDescent="0.25">
      <c r="A656" s="39" t="s">
        <v>495</v>
      </c>
      <c r="B656" s="46" t="s">
        <v>285</v>
      </c>
      <c r="C656" s="39" t="s">
        <v>465</v>
      </c>
      <c r="D656" s="102">
        <v>561737107</v>
      </c>
      <c r="E656" s="102">
        <v>9198294156</v>
      </c>
      <c r="F656" s="39" t="s">
        <v>256</v>
      </c>
      <c r="G656" s="81">
        <f>34478+(364+182)</f>
        <v>35024</v>
      </c>
      <c r="H656" s="50" t="str">
        <f t="shared" si="30"/>
        <v>Nov</v>
      </c>
      <c r="I656" s="51">
        <f t="shared" ca="1" si="31"/>
        <v>20</v>
      </c>
      <c r="J656" s="52" t="s">
        <v>283</v>
      </c>
      <c r="K656" s="53">
        <v>73072</v>
      </c>
      <c r="L656" s="54">
        <v>5</v>
      </c>
      <c r="M656" s="59">
        <f t="shared" si="32"/>
        <v>73072</v>
      </c>
      <c r="N656" s="100"/>
      <c r="O656" s="45"/>
      <c r="P656" s="39"/>
      <c r="Q656" s="39"/>
      <c r="R656" s="39"/>
      <c r="S656" s="39"/>
      <c r="T656" s="39"/>
      <c r="U656" s="39"/>
      <c r="V656" s="39"/>
      <c r="W656" s="39"/>
      <c r="X656" s="39"/>
      <c r="Y656" s="39"/>
      <c r="Z656" s="39"/>
      <c r="AA656" s="39"/>
      <c r="AB656" s="39"/>
      <c r="AC656" s="39"/>
      <c r="AD656" s="39"/>
      <c r="AE656" s="39"/>
      <c r="AF656" s="39"/>
      <c r="AG656" s="39"/>
      <c r="AH656" s="39"/>
    </row>
    <row r="657" spans="1:34" s="84" customFormat="1" x14ac:dyDescent="0.25">
      <c r="A657" s="39" t="s">
        <v>890</v>
      </c>
      <c r="B657" s="46" t="s">
        <v>271</v>
      </c>
      <c r="C657" s="39" t="s">
        <v>856</v>
      </c>
      <c r="D657" s="102">
        <v>277925508</v>
      </c>
      <c r="E657" s="102">
        <v>2526584511</v>
      </c>
      <c r="F657" s="39" t="s">
        <v>256</v>
      </c>
      <c r="G657" s="81">
        <f>34827+(364+182)</f>
        <v>35373</v>
      </c>
      <c r="H657" s="50" t="str">
        <f t="shared" si="30"/>
        <v>Nov</v>
      </c>
      <c r="I657" s="51">
        <f t="shared" ca="1" si="31"/>
        <v>20</v>
      </c>
      <c r="J657" s="52" t="s">
        <v>283</v>
      </c>
      <c r="K657" s="53">
        <v>66440</v>
      </c>
      <c r="L657" s="54">
        <v>3</v>
      </c>
      <c r="M657" s="59">
        <f t="shared" si="32"/>
        <v>66440</v>
      </c>
      <c r="N657" s="100"/>
      <c r="O657" s="45"/>
      <c r="P657" s="39"/>
      <c r="Q657" s="39"/>
      <c r="R657" s="39"/>
      <c r="S657" s="39"/>
      <c r="T657" s="39"/>
      <c r="U657" s="39"/>
      <c r="V657" s="39"/>
      <c r="W657" s="39"/>
      <c r="X657" s="39"/>
      <c r="Y657" s="39"/>
      <c r="Z657" s="39"/>
      <c r="AA657" s="39"/>
      <c r="AB657" s="39"/>
      <c r="AC657" s="39"/>
      <c r="AD657" s="39"/>
      <c r="AE657" s="39"/>
      <c r="AF657" s="39"/>
      <c r="AG657" s="39"/>
      <c r="AH657" s="39"/>
    </row>
    <row r="658" spans="1:34" x14ac:dyDescent="0.25">
      <c r="A658" s="39" t="s">
        <v>570</v>
      </c>
      <c r="B658" s="46" t="s">
        <v>271</v>
      </c>
      <c r="C658" s="39" t="s">
        <v>465</v>
      </c>
      <c r="D658" s="102">
        <v>687006783</v>
      </c>
      <c r="E658" s="102">
        <v>2524919418</v>
      </c>
      <c r="F658" s="39" t="s">
        <v>247</v>
      </c>
      <c r="G658" s="81">
        <f>34833+(364+182)</f>
        <v>35379</v>
      </c>
      <c r="H658" s="50" t="str">
        <f t="shared" si="30"/>
        <v>Nov</v>
      </c>
      <c r="I658" s="51">
        <f t="shared" ca="1" si="31"/>
        <v>20</v>
      </c>
      <c r="J658" s="52"/>
      <c r="K658" s="53">
        <v>66010</v>
      </c>
      <c r="L658" s="54">
        <v>2</v>
      </c>
      <c r="M658" s="59">
        <f t="shared" si="32"/>
        <v>66010</v>
      </c>
    </row>
    <row r="659" spans="1:34" x14ac:dyDescent="0.25">
      <c r="A659" s="39" t="s">
        <v>748</v>
      </c>
      <c r="B659" s="46" t="s">
        <v>285</v>
      </c>
      <c r="C659" s="39" t="s">
        <v>705</v>
      </c>
      <c r="D659" s="102">
        <v>824046378</v>
      </c>
      <c r="E659" s="102">
        <v>9196335284</v>
      </c>
      <c r="F659" s="39" t="s">
        <v>256</v>
      </c>
      <c r="G659" s="81">
        <f>34833+(364+182)</f>
        <v>35379</v>
      </c>
      <c r="H659" s="50" t="str">
        <f t="shared" si="30"/>
        <v>Nov</v>
      </c>
      <c r="I659" s="51">
        <f t="shared" ca="1" si="31"/>
        <v>20</v>
      </c>
      <c r="J659" s="52" t="s">
        <v>276</v>
      </c>
      <c r="K659" s="53">
        <v>67230</v>
      </c>
      <c r="L659" s="54">
        <v>4</v>
      </c>
      <c r="M659" s="59">
        <f t="shared" si="32"/>
        <v>67230</v>
      </c>
    </row>
    <row r="660" spans="1:34" x14ac:dyDescent="0.25">
      <c r="A660" s="39" t="s">
        <v>684</v>
      </c>
      <c r="B660" s="46" t="s">
        <v>271</v>
      </c>
      <c r="C660" s="39" t="s">
        <v>678</v>
      </c>
      <c r="D660" s="102">
        <v>788832967</v>
      </c>
      <c r="E660" s="102">
        <v>2521919147</v>
      </c>
      <c r="F660" s="39" t="s">
        <v>252</v>
      </c>
      <c r="G660" s="81">
        <f>34835+(364+182)</f>
        <v>35381</v>
      </c>
      <c r="H660" s="50" t="str">
        <f t="shared" si="30"/>
        <v>Nov</v>
      </c>
      <c r="I660" s="51">
        <f t="shared" ca="1" si="31"/>
        <v>20</v>
      </c>
      <c r="J660" s="52"/>
      <c r="K660" s="53">
        <v>35312</v>
      </c>
      <c r="L660" s="54">
        <v>3</v>
      </c>
      <c r="M660" s="59">
        <f t="shared" si="32"/>
        <v>35312</v>
      </c>
    </row>
    <row r="661" spans="1:34" x14ac:dyDescent="0.25">
      <c r="A661" s="39" t="s">
        <v>310</v>
      </c>
      <c r="B661" s="46" t="s">
        <v>280</v>
      </c>
      <c r="C661" s="39" t="s">
        <v>307</v>
      </c>
      <c r="D661" s="102">
        <v>529609767</v>
      </c>
      <c r="E661" s="102">
        <v>2528006736</v>
      </c>
      <c r="F661" s="39" t="s">
        <v>247</v>
      </c>
      <c r="G661" s="81">
        <f>34849+(364+182)</f>
        <v>35395</v>
      </c>
      <c r="H661" s="50" t="str">
        <f t="shared" si="30"/>
        <v>Nov</v>
      </c>
      <c r="I661" s="51">
        <f t="shared" ca="1" si="31"/>
        <v>19</v>
      </c>
      <c r="J661" s="52"/>
      <c r="K661" s="53">
        <v>58130</v>
      </c>
      <c r="L661" s="54">
        <v>2</v>
      </c>
      <c r="M661" s="59">
        <f t="shared" si="32"/>
        <v>58130</v>
      </c>
    </row>
    <row r="662" spans="1:34" x14ac:dyDescent="0.25">
      <c r="A662" s="39" t="s">
        <v>395</v>
      </c>
      <c r="B662" s="46" t="s">
        <v>271</v>
      </c>
      <c r="C662" s="39" t="s">
        <v>391</v>
      </c>
      <c r="D662" s="102">
        <v>197789466</v>
      </c>
      <c r="E662" s="102">
        <v>9191472895</v>
      </c>
      <c r="F662" s="39" t="s">
        <v>247</v>
      </c>
      <c r="G662" s="81">
        <f>35191+(364+182)</f>
        <v>35737</v>
      </c>
      <c r="H662" s="50" t="str">
        <f t="shared" si="30"/>
        <v>Nov</v>
      </c>
      <c r="I662" s="51">
        <f t="shared" ca="1" si="31"/>
        <v>19</v>
      </c>
      <c r="J662" s="52"/>
      <c r="K662" s="53">
        <v>76020</v>
      </c>
      <c r="L662" s="54">
        <v>1</v>
      </c>
      <c r="M662" s="59">
        <f t="shared" si="32"/>
        <v>76020</v>
      </c>
    </row>
    <row r="663" spans="1:34" x14ac:dyDescent="0.25">
      <c r="A663" s="45" t="s">
        <v>282</v>
      </c>
      <c r="B663" s="46" t="s">
        <v>280</v>
      </c>
      <c r="C663" s="45" t="s">
        <v>272</v>
      </c>
      <c r="D663" s="106">
        <v>475256935</v>
      </c>
      <c r="E663" s="106">
        <v>2527852326</v>
      </c>
      <c r="F663" s="45" t="s">
        <v>256</v>
      </c>
      <c r="G663" s="105">
        <f>35196+(364+182)</f>
        <v>35742</v>
      </c>
      <c r="H663" s="50" t="str">
        <f t="shared" si="30"/>
        <v>Nov</v>
      </c>
      <c r="I663" s="51">
        <f t="shared" ca="1" si="31"/>
        <v>19</v>
      </c>
      <c r="J663" s="52" t="s">
        <v>283</v>
      </c>
      <c r="K663" s="53">
        <v>85300</v>
      </c>
      <c r="L663" s="54">
        <v>2</v>
      </c>
      <c r="M663" s="59">
        <f t="shared" si="32"/>
        <v>85300</v>
      </c>
      <c r="O663" s="104"/>
    </row>
    <row r="664" spans="1:34" x14ac:dyDescent="0.25">
      <c r="A664" s="39" t="s">
        <v>568</v>
      </c>
      <c r="B664" s="46" t="s">
        <v>271</v>
      </c>
      <c r="C664" s="39" t="s">
        <v>465</v>
      </c>
      <c r="D664" s="102">
        <v>462995574</v>
      </c>
      <c r="E664" s="102">
        <v>2523431009</v>
      </c>
      <c r="F664" s="39" t="s">
        <v>256</v>
      </c>
      <c r="G664" s="81">
        <f>35555+(364+182)</f>
        <v>36101</v>
      </c>
      <c r="H664" s="50" t="str">
        <f t="shared" si="30"/>
        <v>Nov</v>
      </c>
      <c r="I664" s="51">
        <f t="shared" ca="1" si="31"/>
        <v>18</v>
      </c>
      <c r="J664" s="52" t="s">
        <v>257</v>
      </c>
      <c r="K664" s="53">
        <v>88240</v>
      </c>
      <c r="L664" s="54">
        <v>5</v>
      </c>
      <c r="M664" s="59">
        <f t="shared" si="32"/>
        <v>88240</v>
      </c>
    </row>
    <row r="665" spans="1:34" x14ac:dyDescent="0.25">
      <c r="A665" s="39" t="s">
        <v>625</v>
      </c>
      <c r="B665" s="46" t="s">
        <v>285</v>
      </c>
      <c r="C665" s="39" t="s">
        <v>626</v>
      </c>
      <c r="D665" s="102">
        <v>567266382</v>
      </c>
      <c r="E665" s="102">
        <v>2521683770</v>
      </c>
      <c r="F665" s="39" t="s">
        <v>256</v>
      </c>
      <c r="G665" s="81">
        <f>35570+(364+182)</f>
        <v>36116</v>
      </c>
      <c r="H665" s="50" t="str">
        <f t="shared" si="30"/>
        <v>Nov</v>
      </c>
      <c r="I665" s="51">
        <f t="shared" ca="1" si="31"/>
        <v>17</v>
      </c>
      <c r="J665" s="52" t="s">
        <v>276</v>
      </c>
      <c r="K665" s="53">
        <v>49770</v>
      </c>
      <c r="L665" s="54">
        <v>1</v>
      </c>
      <c r="M665" s="59">
        <f t="shared" si="32"/>
        <v>49770</v>
      </c>
    </row>
    <row r="666" spans="1:34" x14ac:dyDescent="0.25">
      <c r="A666" s="39" t="s">
        <v>647</v>
      </c>
      <c r="B666" s="46" t="s">
        <v>245</v>
      </c>
      <c r="C666" s="39" t="s">
        <v>626</v>
      </c>
      <c r="D666" s="102">
        <v>499124019</v>
      </c>
      <c r="E666" s="102">
        <v>9195978858</v>
      </c>
      <c r="F666" s="39" t="s">
        <v>261</v>
      </c>
      <c r="G666" s="81">
        <f>35575+(364+182)</f>
        <v>36121</v>
      </c>
      <c r="H666" s="50" t="str">
        <f t="shared" si="30"/>
        <v>Nov</v>
      </c>
      <c r="I666" s="51">
        <f t="shared" ca="1" si="31"/>
        <v>17</v>
      </c>
      <c r="J666" s="52" t="s">
        <v>283</v>
      </c>
      <c r="K666" s="53">
        <v>28880</v>
      </c>
      <c r="L666" s="54">
        <v>3</v>
      </c>
      <c r="M666" s="59">
        <f t="shared" si="32"/>
        <v>28880</v>
      </c>
    </row>
    <row r="667" spans="1:34" x14ac:dyDescent="0.25">
      <c r="A667" s="39" t="s">
        <v>490</v>
      </c>
      <c r="B667" s="46" t="s">
        <v>245</v>
      </c>
      <c r="C667" s="39" t="s">
        <v>465</v>
      </c>
      <c r="D667" s="102">
        <v>354619285</v>
      </c>
      <c r="E667" s="102">
        <v>2526657361</v>
      </c>
      <c r="F667" s="39" t="s">
        <v>256</v>
      </c>
      <c r="G667" s="81">
        <f>35576+(364+182)</f>
        <v>36122</v>
      </c>
      <c r="H667" s="50" t="str">
        <f t="shared" si="30"/>
        <v>Nov</v>
      </c>
      <c r="I667" s="51">
        <f t="shared" ca="1" si="31"/>
        <v>17</v>
      </c>
      <c r="J667" s="52" t="s">
        <v>262</v>
      </c>
      <c r="K667" s="53">
        <v>22660</v>
      </c>
      <c r="L667" s="54">
        <v>2</v>
      </c>
      <c r="M667" s="59">
        <f t="shared" si="32"/>
        <v>22660</v>
      </c>
    </row>
    <row r="668" spans="1:34" x14ac:dyDescent="0.25">
      <c r="A668" s="39" t="s">
        <v>685</v>
      </c>
      <c r="B668" s="46" t="s">
        <v>266</v>
      </c>
      <c r="C668" s="39" t="s">
        <v>678</v>
      </c>
      <c r="D668" s="102">
        <v>113377726</v>
      </c>
      <c r="E668" s="102">
        <v>9197494648</v>
      </c>
      <c r="F668" s="39" t="s">
        <v>256</v>
      </c>
      <c r="G668" s="81">
        <f>35920+(364+182)</f>
        <v>36466</v>
      </c>
      <c r="H668" s="50" t="str">
        <f t="shared" si="30"/>
        <v>Nov</v>
      </c>
      <c r="I668" s="51">
        <f t="shared" ca="1" si="31"/>
        <v>17</v>
      </c>
      <c r="J668" s="52" t="s">
        <v>283</v>
      </c>
      <c r="K668" s="53">
        <v>68410</v>
      </c>
      <c r="L668" s="54">
        <v>5</v>
      </c>
      <c r="M668" s="59">
        <f t="shared" si="32"/>
        <v>68410</v>
      </c>
    </row>
    <row r="669" spans="1:34" x14ac:dyDescent="0.25">
      <c r="A669" s="39" t="s">
        <v>332</v>
      </c>
      <c r="B669" s="46" t="s">
        <v>245</v>
      </c>
      <c r="C669" s="39" t="s">
        <v>312</v>
      </c>
      <c r="D669" s="102">
        <v>393393249</v>
      </c>
      <c r="E669" s="102">
        <v>9194980674</v>
      </c>
      <c r="F669" s="39" t="s">
        <v>247</v>
      </c>
      <c r="G669" s="81">
        <f>35924+(364+182)</f>
        <v>36470</v>
      </c>
      <c r="H669" s="50" t="str">
        <f t="shared" si="30"/>
        <v>Nov</v>
      </c>
      <c r="I669" s="51">
        <f t="shared" ca="1" si="31"/>
        <v>17</v>
      </c>
      <c r="J669" s="52"/>
      <c r="K669" s="53">
        <v>23560</v>
      </c>
      <c r="L669" s="54">
        <v>3</v>
      </c>
      <c r="M669" s="59">
        <f t="shared" si="32"/>
        <v>23560</v>
      </c>
    </row>
    <row r="670" spans="1:34" x14ac:dyDescent="0.25">
      <c r="A670" s="39" t="s">
        <v>873</v>
      </c>
      <c r="B670" s="46" t="s">
        <v>285</v>
      </c>
      <c r="C670" s="39" t="s">
        <v>856</v>
      </c>
      <c r="D670" s="102">
        <v>135633006</v>
      </c>
      <c r="E670" s="102">
        <v>2526732103</v>
      </c>
      <c r="F670" s="39" t="s">
        <v>247</v>
      </c>
      <c r="G670" s="81">
        <f>35933+(364+182)</f>
        <v>36479</v>
      </c>
      <c r="H670" s="50" t="str">
        <f t="shared" si="30"/>
        <v>Nov</v>
      </c>
      <c r="I670" s="51">
        <f t="shared" ca="1" si="31"/>
        <v>17</v>
      </c>
      <c r="J670" s="52"/>
      <c r="K670" s="53">
        <v>54840</v>
      </c>
      <c r="L670" s="54">
        <v>4</v>
      </c>
      <c r="M670" s="59">
        <f t="shared" si="32"/>
        <v>54840</v>
      </c>
    </row>
    <row r="671" spans="1:34" x14ac:dyDescent="0.25">
      <c r="A671" s="39" t="s">
        <v>339</v>
      </c>
      <c r="B671" s="46" t="s">
        <v>245</v>
      </c>
      <c r="C671" s="39" t="s">
        <v>312</v>
      </c>
      <c r="D671" s="102">
        <v>822974734</v>
      </c>
      <c r="E671" s="102">
        <v>2524924736</v>
      </c>
      <c r="F671" s="39" t="s">
        <v>252</v>
      </c>
      <c r="G671" s="81">
        <f>35941+(364+182)</f>
        <v>36487</v>
      </c>
      <c r="H671" s="50" t="str">
        <f t="shared" si="30"/>
        <v>Nov</v>
      </c>
      <c r="I671" s="51">
        <f t="shared" ca="1" si="31"/>
        <v>16</v>
      </c>
      <c r="J671" s="52"/>
      <c r="K671" s="53">
        <v>33056</v>
      </c>
      <c r="L671" s="54">
        <v>5</v>
      </c>
      <c r="M671" s="59">
        <f t="shared" si="32"/>
        <v>33056</v>
      </c>
    </row>
    <row r="672" spans="1:34" x14ac:dyDescent="0.25">
      <c r="A672" s="39" t="s">
        <v>955</v>
      </c>
      <c r="B672" s="46" t="s">
        <v>251</v>
      </c>
      <c r="C672" s="39" t="s">
        <v>930</v>
      </c>
      <c r="D672" s="102">
        <v>635240617</v>
      </c>
      <c r="E672" s="102">
        <v>9192259651</v>
      </c>
      <c r="F672" s="39" t="s">
        <v>256</v>
      </c>
      <c r="G672" s="81">
        <f>36297+(364+182)</f>
        <v>36843</v>
      </c>
      <c r="H672" s="50" t="str">
        <f t="shared" si="30"/>
        <v>Nov</v>
      </c>
      <c r="I672" s="51">
        <f t="shared" ca="1" si="31"/>
        <v>16</v>
      </c>
      <c r="J672" s="52" t="s">
        <v>283</v>
      </c>
      <c r="K672" s="53">
        <v>47630</v>
      </c>
      <c r="L672" s="54">
        <v>3</v>
      </c>
      <c r="M672" s="59">
        <f t="shared" si="32"/>
        <v>47630</v>
      </c>
    </row>
    <row r="673" spans="1:15" x14ac:dyDescent="0.25">
      <c r="A673" s="39" t="s">
        <v>817</v>
      </c>
      <c r="B673" s="46" t="s">
        <v>285</v>
      </c>
      <c r="C673" s="39" t="s">
        <v>767</v>
      </c>
      <c r="D673" s="102">
        <v>569882669</v>
      </c>
      <c r="E673" s="102">
        <v>2523122083</v>
      </c>
      <c r="F673" s="39" t="s">
        <v>256</v>
      </c>
      <c r="G673" s="81">
        <f>37022+(364+182)</f>
        <v>37568</v>
      </c>
      <c r="H673" s="50" t="str">
        <f t="shared" si="30"/>
        <v>Nov</v>
      </c>
      <c r="I673" s="51">
        <f t="shared" ca="1" si="31"/>
        <v>14</v>
      </c>
      <c r="J673" s="52" t="s">
        <v>262</v>
      </c>
      <c r="K673" s="53">
        <v>45100</v>
      </c>
      <c r="L673" s="54">
        <v>2</v>
      </c>
      <c r="M673" s="59">
        <f t="shared" si="32"/>
        <v>45100</v>
      </c>
    </row>
    <row r="674" spans="1:15" x14ac:dyDescent="0.25">
      <c r="A674" s="39" t="s">
        <v>528</v>
      </c>
      <c r="B674" s="46" t="s">
        <v>266</v>
      </c>
      <c r="C674" s="39" t="s">
        <v>465</v>
      </c>
      <c r="D674" s="102">
        <v>135965371</v>
      </c>
      <c r="E674" s="102">
        <v>9195592950</v>
      </c>
      <c r="F674" s="39" t="s">
        <v>256</v>
      </c>
      <c r="G674" s="81">
        <f>37390+(364+182)</f>
        <v>37936</v>
      </c>
      <c r="H674" s="50" t="str">
        <f t="shared" si="30"/>
        <v>Nov</v>
      </c>
      <c r="I674" s="51">
        <f t="shared" ca="1" si="31"/>
        <v>13</v>
      </c>
      <c r="J674" s="52" t="s">
        <v>283</v>
      </c>
      <c r="K674" s="53">
        <v>30920</v>
      </c>
      <c r="L674" s="54">
        <v>5</v>
      </c>
      <c r="M674" s="59">
        <f t="shared" si="32"/>
        <v>30920</v>
      </c>
    </row>
    <row r="675" spans="1:15" x14ac:dyDescent="0.25">
      <c r="A675" s="39" t="s">
        <v>621</v>
      </c>
      <c r="B675" s="46" t="s">
        <v>285</v>
      </c>
      <c r="C675" s="39" t="s">
        <v>618</v>
      </c>
      <c r="D675" s="102">
        <v>214234804</v>
      </c>
      <c r="E675" s="102">
        <v>2528908079</v>
      </c>
      <c r="F675" s="39" t="s">
        <v>256</v>
      </c>
      <c r="G675" s="81">
        <f>37390+(364+182)</f>
        <v>37936</v>
      </c>
      <c r="H675" s="50" t="str">
        <f t="shared" si="30"/>
        <v>Nov</v>
      </c>
      <c r="I675" s="51">
        <f t="shared" ca="1" si="31"/>
        <v>13</v>
      </c>
      <c r="J675" s="52" t="s">
        <v>283</v>
      </c>
      <c r="K675" s="53">
        <v>53870</v>
      </c>
      <c r="L675" s="54">
        <v>2</v>
      </c>
      <c r="M675" s="59">
        <f t="shared" si="32"/>
        <v>53870</v>
      </c>
    </row>
    <row r="676" spans="1:15" x14ac:dyDescent="0.25">
      <c r="A676" s="39" t="s">
        <v>503</v>
      </c>
      <c r="B676" s="46" t="s">
        <v>271</v>
      </c>
      <c r="C676" s="39" t="s">
        <v>465</v>
      </c>
      <c r="D676" s="102">
        <v>708108747</v>
      </c>
      <c r="E676" s="102">
        <v>9192520526</v>
      </c>
      <c r="F676" s="39" t="s">
        <v>256</v>
      </c>
      <c r="G676" s="81">
        <f>37397+(364+182)</f>
        <v>37943</v>
      </c>
      <c r="H676" s="50" t="str">
        <f t="shared" si="30"/>
        <v>Nov</v>
      </c>
      <c r="I676" s="51">
        <f t="shared" ca="1" si="31"/>
        <v>12</v>
      </c>
      <c r="J676" s="52" t="s">
        <v>257</v>
      </c>
      <c r="K676" s="53">
        <v>75176</v>
      </c>
      <c r="L676" s="54">
        <v>3</v>
      </c>
      <c r="M676" s="59">
        <f t="shared" si="32"/>
        <v>75176</v>
      </c>
    </row>
    <row r="677" spans="1:15" x14ac:dyDescent="0.25">
      <c r="A677" s="39" t="s">
        <v>458</v>
      </c>
      <c r="B677" s="46" t="s">
        <v>285</v>
      </c>
      <c r="C677" s="39" t="s">
        <v>456</v>
      </c>
      <c r="D677" s="102">
        <v>771953685</v>
      </c>
      <c r="E677" s="102">
        <v>2526739978</v>
      </c>
      <c r="F677" s="39" t="s">
        <v>252</v>
      </c>
      <c r="G677" s="81">
        <f>37400+(364+182)</f>
        <v>37946</v>
      </c>
      <c r="H677" s="50" t="str">
        <f t="shared" si="30"/>
        <v>Nov</v>
      </c>
      <c r="I677" s="51">
        <f t="shared" ca="1" si="31"/>
        <v>12</v>
      </c>
      <c r="J677" s="52" t="s">
        <v>257</v>
      </c>
      <c r="K677" s="53">
        <v>85130</v>
      </c>
      <c r="L677" s="54">
        <v>5</v>
      </c>
      <c r="M677" s="59">
        <f t="shared" si="32"/>
        <v>85130</v>
      </c>
    </row>
    <row r="678" spans="1:15" x14ac:dyDescent="0.25">
      <c r="A678" s="39" t="s">
        <v>508</v>
      </c>
      <c r="B678" s="46" t="s">
        <v>285</v>
      </c>
      <c r="C678" s="39" t="s">
        <v>465</v>
      </c>
      <c r="D678" s="102">
        <v>399060898</v>
      </c>
      <c r="E678" s="102">
        <v>9195197037</v>
      </c>
      <c r="F678" s="39" t="s">
        <v>247</v>
      </c>
      <c r="G678" s="81">
        <f>37775+(364+182)</f>
        <v>38321</v>
      </c>
      <c r="H678" s="50" t="str">
        <f t="shared" si="30"/>
        <v>Nov</v>
      </c>
      <c r="I678" s="51">
        <f t="shared" ca="1" si="31"/>
        <v>11</v>
      </c>
      <c r="J678" s="52"/>
      <c r="K678" s="53">
        <v>37980</v>
      </c>
      <c r="L678" s="54">
        <v>4</v>
      </c>
      <c r="M678" s="59">
        <f t="shared" si="32"/>
        <v>37980</v>
      </c>
    </row>
    <row r="679" spans="1:15" x14ac:dyDescent="0.25">
      <c r="A679" s="39" t="s">
        <v>516</v>
      </c>
      <c r="B679" s="46" t="s">
        <v>266</v>
      </c>
      <c r="C679" s="39" t="s">
        <v>465</v>
      </c>
      <c r="D679" s="102">
        <v>590896401</v>
      </c>
      <c r="E679" s="102">
        <v>2523122603</v>
      </c>
      <c r="F679" s="39" t="s">
        <v>256</v>
      </c>
      <c r="G679" s="81">
        <f>37775+(364+182)</f>
        <v>38321</v>
      </c>
      <c r="H679" s="50" t="str">
        <f t="shared" si="30"/>
        <v>Nov</v>
      </c>
      <c r="I679" s="51">
        <f t="shared" ca="1" si="31"/>
        <v>11</v>
      </c>
      <c r="J679" s="52" t="s">
        <v>262</v>
      </c>
      <c r="K679" s="53">
        <v>70760</v>
      </c>
      <c r="L679" s="54">
        <v>1</v>
      </c>
      <c r="M679" s="59">
        <f t="shared" si="32"/>
        <v>70760</v>
      </c>
    </row>
    <row r="680" spans="1:15" x14ac:dyDescent="0.25">
      <c r="A680" s="39" t="s">
        <v>583</v>
      </c>
      <c r="B680" s="46" t="s">
        <v>285</v>
      </c>
      <c r="C680" s="39" t="s">
        <v>465</v>
      </c>
      <c r="D680" s="102">
        <v>249929042</v>
      </c>
      <c r="E680" s="102">
        <v>2525790872</v>
      </c>
      <c r="F680" s="39" t="s">
        <v>256</v>
      </c>
      <c r="G680" s="81">
        <f>38118+(364+182)</f>
        <v>38664</v>
      </c>
      <c r="H680" s="50" t="str">
        <f t="shared" si="30"/>
        <v>Nov</v>
      </c>
      <c r="I680" s="51">
        <f t="shared" ca="1" si="31"/>
        <v>11</v>
      </c>
      <c r="J680" s="52" t="s">
        <v>257</v>
      </c>
      <c r="K680" s="53">
        <v>61060</v>
      </c>
      <c r="L680" s="54">
        <v>5</v>
      </c>
      <c r="M680" s="59">
        <f t="shared" si="32"/>
        <v>61060</v>
      </c>
    </row>
    <row r="681" spans="1:15" x14ac:dyDescent="0.25">
      <c r="A681" s="39" t="s">
        <v>622</v>
      </c>
      <c r="B681" s="46" t="s">
        <v>245</v>
      </c>
      <c r="C681" s="39" t="s">
        <v>618</v>
      </c>
      <c r="D681" s="102">
        <v>620072502</v>
      </c>
      <c r="E681" s="102">
        <v>9191264013</v>
      </c>
      <c r="F681" s="39" t="s">
        <v>256</v>
      </c>
      <c r="G681" s="81">
        <f>38492+(364+182)</f>
        <v>39038</v>
      </c>
      <c r="H681" s="50" t="str">
        <f t="shared" si="30"/>
        <v>Nov</v>
      </c>
      <c r="I681" s="51">
        <f t="shared" ca="1" si="31"/>
        <v>9</v>
      </c>
      <c r="J681" s="52" t="s">
        <v>276</v>
      </c>
      <c r="K681" s="53">
        <v>71400</v>
      </c>
      <c r="L681" s="54">
        <v>4</v>
      </c>
      <c r="M681" s="59">
        <f t="shared" si="32"/>
        <v>71400</v>
      </c>
    </row>
    <row r="682" spans="1:15" x14ac:dyDescent="0.25">
      <c r="A682" s="39" t="s">
        <v>313</v>
      </c>
      <c r="B682" s="46" t="s">
        <v>245</v>
      </c>
      <c r="C682" s="39" t="s">
        <v>312</v>
      </c>
      <c r="D682" s="102">
        <v>580960042</v>
      </c>
      <c r="E682" s="102">
        <v>9197528456</v>
      </c>
      <c r="F682" s="39" t="s">
        <v>247</v>
      </c>
      <c r="G682" s="81">
        <f>38494+(364+182)</f>
        <v>39040</v>
      </c>
      <c r="H682" s="50" t="str">
        <f t="shared" si="30"/>
        <v>Nov</v>
      </c>
      <c r="I682" s="51">
        <f t="shared" ca="1" si="31"/>
        <v>9</v>
      </c>
      <c r="J682" s="52"/>
      <c r="K682" s="53">
        <v>62150</v>
      </c>
      <c r="L682" s="54">
        <v>4</v>
      </c>
      <c r="M682" s="59">
        <f t="shared" si="32"/>
        <v>62150</v>
      </c>
    </row>
    <row r="683" spans="1:15" x14ac:dyDescent="0.25">
      <c r="A683" s="39" t="s">
        <v>830</v>
      </c>
      <c r="B683" s="46" t="s">
        <v>271</v>
      </c>
      <c r="C683" s="39" t="s">
        <v>767</v>
      </c>
      <c r="D683" s="102">
        <v>990843236</v>
      </c>
      <c r="E683" s="102">
        <v>9196245634</v>
      </c>
      <c r="F683" s="39" t="s">
        <v>256</v>
      </c>
      <c r="G683" s="81">
        <f>38501+(364+182)</f>
        <v>39047</v>
      </c>
      <c r="H683" s="50" t="str">
        <f t="shared" si="30"/>
        <v>Nov</v>
      </c>
      <c r="I683" s="51">
        <f t="shared" ca="1" si="31"/>
        <v>9</v>
      </c>
      <c r="J683" s="52" t="s">
        <v>283</v>
      </c>
      <c r="K683" s="53">
        <v>65880</v>
      </c>
      <c r="L683" s="54">
        <v>5</v>
      </c>
      <c r="M683" s="59">
        <f t="shared" si="32"/>
        <v>65880</v>
      </c>
    </row>
    <row r="684" spans="1:15" x14ac:dyDescent="0.25">
      <c r="A684" s="39" t="s">
        <v>379</v>
      </c>
      <c r="B684" s="46" t="s">
        <v>280</v>
      </c>
      <c r="C684" s="39" t="s">
        <v>372</v>
      </c>
      <c r="D684" s="102">
        <v>676831149</v>
      </c>
      <c r="E684" s="102">
        <v>9192824485</v>
      </c>
      <c r="F684" s="39" t="s">
        <v>256</v>
      </c>
      <c r="G684" s="81">
        <f>38842+(364+182)</f>
        <v>39388</v>
      </c>
      <c r="H684" s="50" t="str">
        <f t="shared" si="30"/>
        <v>Nov</v>
      </c>
      <c r="I684" s="51">
        <f t="shared" ca="1" si="31"/>
        <v>9</v>
      </c>
      <c r="J684" s="52" t="s">
        <v>257</v>
      </c>
      <c r="K684" s="53">
        <v>71120</v>
      </c>
      <c r="L684" s="54">
        <v>4</v>
      </c>
      <c r="M684" s="59">
        <f t="shared" si="32"/>
        <v>71120</v>
      </c>
    </row>
    <row r="685" spans="1:15" x14ac:dyDescent="0.25">
      <c r="A685" s="39" t="s">
        <v>564</v>
      </c>
      <c r="B685" s="46" t="s">
        <v>271</v>
      </c>
      <c r="C685" s="39" t="s">
        <v>465</v>
      </c>
      <c r="D685" s="102">
        <v>930314379</v>
      </c>
      <c r="E685" s="102">
        <v>2524854867</v>
      </c>
      <c r="F685" s="39" t="s">
        <v>256</v>
      </c>
      <c r="G685" s="81">
        <f>38844+(364+182)</f>
        <v>39390</v>
      </c>
      <c r="H685" s="50" t="str">
        <f t="shared" si="30"/>
        <v>Nov</v>
      </c>
      <c r="I685" s="51">
        <f t="shared" ca="1" si="31"/>
        <v>9</v>
      </c>
      <c r="J685" s="52" t="s">
        <v>267</v>
      </c>
      <c r="K685" s="53">
        <v>71490</v>
      </c>
      <c r="L685" s="54">
        <v>5</v>
      </c>
      <c r="M685" s="59">
        <f t="shared" si="32"/>
        <v>71490</v>
      </c>
    </row>
    <row r="686" spans="1:15" x14ac:dyDescent="0.25">
      <c r="A686" s="39" t="s">
        <v>726</v>
      </c>
      <c r="B686" s="46" t="s">
        <v>285</v>
      </c>
      <c r="C686" s="39" t="s">
        <v>705</v>
      </c>
      <c r="D686" s="102">
        <v>145240921</v>
      </c>
      <c r="E686" s="102">
        <v>2525227751</v>
      </c>
      <c r="F686" s="39" t="s">
        <v>256</v>
      </c>
      <c r="G686" s="81">
        <f>38858+(364+182)</f>
        <v>39404</v>
      </c>
      <c r="H686" s="50" t="str">
        <f t="shared" si="30"/>
        <v>Nov</v>
      </c>
      <c r="I686" s="51">
        <f t="shared" ca="1" si="31"/>
        <v>8</v>
      </c>
      <c r="J686" s="52" t="s">
        <v>267</v>
      </c>
      <c r="K686" s="53">
        <v>50990</v>
      </c>
      <c r="L686" s="54">
        <v>4</v>
      </c>
      <c r="M686" s="59">
        <f t="shared" si="32"/>
        <v>50990</v>
      </c>
    </row>
    <row r="687" spans="1:15" x14ac:dyDescent="0.25">
      <c r="A687" s="39" t="s">
        <v>422</v>
      </c>
      <c r="B687" s="46" t="s">
        <v>271</v>
      </c>
      <c r="C687" s="39" t="s">
        <v>417</v>
      </c>
      <c r="D687" s="102">
        <v>736688620</v>
      </c>
      <c r="E687" s="102">
        <v>2524562999</v>
      </c>
      <c r="F687" s="39" t="s">
        <v>261</v>
      </c>
      <c r="G687" s="81">
        <f>39222+(364+182)</f>
        <v>39768</v>
      </c>
      <c r="H687" s="50" t="str">
        <f t="shared" si="30"/>
        <v>Nov</v>
      </c>
      <c r="I687" s="51">
        <f t="shared" ca="1" si="31"/>
        <v>8</v>
      </c>
      <c r="J687" s="52" t="s">
        <v>257</v>
      </c>
      <c r="K687" s="53">
        <v>39515</v>
      </c>
      <c r="L687" s="54">
        <v>5</v>
      </c>
      <c r="M687" s="59">
        <f t="shared" si="32"/>
        <v>39515</v>
      </c>
    </row>
    <row r="688" spans="1:15" x14ac:dyDescent="0.25">
      <c r="A688" s="45" t="s">
        <v>278</v>
      </c>
      <c r="B688" s="46" t="s">
        <v>245</v>
      </c>
      <c r="C688" s="45" t="s">
        <v>272</v>
      </c>
      <c r="D688" s="106">
        <v>771277493</v>
      </c>
      <c r="E688" s="106">
        <v>2522872439</v>
      </c>
      <c r="F688" s="45" t="s">
        <v>252</v>
      </c>
      <c r="G688" s="105">
        <f>39580+(364+182)</f>
        <v>40126</v>
      </c>
      <c r="H688" s="50" t="str">
        <f t="shared" si="30"/>
        <v>Nov</v>
      </c>
      <c r="I688" s="51">
        <f t="shared" ca="1" si="31"/>
        <v>7</v>
      </c>
      <c r="J688" s="52"/>
      <c r="K688" s="53">
        <v>10636</v>
      </c>
      <c r="L688" s="54">
        <v>4</v>
      </c>
      <c r="M688" s="59">
        <f t="shared" si="32"/>
        <v>10636</v>
      </c>
      <c r="O688" s="104"/>
    </row>
    <row r="689" spans="1:15" x14ac:dyDescent="0.25">
      <c r="A689" s="39" t="s">
        <v>816</v>
      </c>
      <c r="B689" s="46" t="s">
        <v>271</v>
      </c>
      <c r="C689" s="39" t="s">
        <v>767</v>
      </c>
      <c r="D689" s="102">
        <v>959750235</v>
      </c>
      <c r="E689" s="102">
        <v>2528488350</v>
      </c>
      <c r="F689" s="39" t="s">
        <v>256</v>
      </c>
      <c r="G689" s="81">
        <f>39591+(364+182)</f>
        <v>40137</v>
      </c>
      <c r="H689" s="50" t="str">
        <f t="shared" si="30"/>
        <v>Nov</v>
      </c>
      <c r="I689" s="51">
        <f t="shared" ca="1" si="31"/>
        <v>6</v>
      </c>
      <c r="J689" s="52" t="s">
        <v>257</v>
      </c>
      <c r="K689" s="53">
        <v>54190</v>
      </c>
      <c r="L689" s="54">
        <v>4</v>
      </c>
      <c r="M689" s="59">
        <f t="shared" si="32"/>
        <v>54190</v>
      </c>
    </row>
    <row r="690" spans="1:15" x14ac:dyDescent="0.25">
      <c r="A690" s="39" t="s">
        <v>320</v>
      </c>
      <c r="B690" s="46" t="s">
        <v>271</v>
      </c>
      <c r="C690" s="39" t="s">
        <v>312</v>
      </c>
      <c r="D690" s="102">
        <v>242099349</v>
      </c>
      <c r="E690" s="102">
        <v>2526576057</v>
      </c>
      <c r="F690" s="39" t="s">
        <v>256</v>
      </c>
      <c r="G690" s="81">
        <f>39955+(364+182)</f>
        <v>40501</v>
      </c>
      <c r="H690" s="50" t="str">
        <f t="shared" si="30"/>
        <v>Nov</v>
      </c>
      <c r="I690" s="51">
        <f t="shared" ca="1" si="31"/>
        <v>5</v>
      </c>
      <c r="J690" s="52" t="s">
        <v>267</v>
      </c>
      <c r="K690" s="53">
        <v>77820</v>
      </c>
      <c r="L690" s="54">
        <v>3</v>
      </c>
      <c r="M690" s="59">
        <f t="shared" si="32"/>
        <v>77820</v>
      </c>
    </row>
    <row r="691" spans="1:15" x14ac:dyDescent="0.25">
      <c r="A691" s="39" t="s">
        <v>371</v>
      </c>
      <c r="B691" s="46" t="s">
        <v>251</v>
      </c>
      <c r="C691" s="39" t="s">
        <v>372</v>
      </c>
      <c r="D691" s="102">
        <v>640301378</v>
      </c>
      <c r="E691" s="102">
        <v>2524663056</v>
      </c>
      <c r="F691" s="39" t="s">
        <v>261</v>
      </c>
      <c r="G691" s="103">
        <f>39959+(364+182)</f>
        <v>40505</v>
      </c>
      <c r="H691" s="50" t="str">
        <f t="shared" si="30"/>
        <v>Nov</v>
      </c>
      <c r="I691" s="51">
        <f t="shared" ca="1" si="31"/>
        <v>5</v>
      </c>
      <c r="J691" s="52" t="s">
        <v>283</v>
      </c>
      <c r="K691" s="53">
        <v>46230</v>
      </c>
      <c r="L691" s="54">
        <v>2</v>
      </c>
      <c r="M691" s="59">
        <f t="shared" si="32"/>
        <v>46230</v>
      </c>
      <c r="O691" s="101"/>
    </row>
    <row r="692" spans="1:15" x14ac:dyDescent="0.25">
      <c r="A692" s="39" t="s">
        <v>889</v>
      </c>
      <c r="B692" s="46" t="s">
        <v>285</v>
      </c>
      <c r="C692" s="39" t="s">
        <v>856</v>
      </c>
      <c r="D692" s="102">
        <v>693055639</v>
      </c>
      <c r="E692" s="102">
        <v>9195866887</v>
      </c>
      <c r="F692" s="39" t="s">
        <v>256</v>
      </c>
      <c r="G692" s="81">
        <f>32676+(364+182)</f>
        <v>33222</v>
      </c>
      <c r="H692" s="50" t="str">
        <f t="shared" si="30"/>
        <v>Dec</v>
      </c>
      <c r="I692" s="51">
        <f t="shared" ca="1" si="31"/>
        <v>25</v>
      </c>
      <c r="J692" s="52" t="s">
        <v>257</v>
      </c>
      <c r="K692" s="53">
        <v>53900</v>
      </c>
      <c r="L692" s="54">
        <v>5</v>
      </c>
      <c r="M692" s="59">
        <f t="shared" si="32"/>
        <v>53900</v>
      </c>
    </row>
    <row r="693" spans="1:15" x14ac:dyDescent="0.25">
      <c r="A693" s="39" t="s">
        <v>659</v>
      </c>
      <c r="B693" s="46" t="s">
        <v>245</v>
      </c>
      <c r="C693" s="39" t="s">
        <v>626</v>
      </c>
      <c r="D693" s="102">
        <v>738946277</v>
      </c>
      <c r="E693" s="102">
        <v>9194331646</v>
      </c>
      <c r="F693" s="39" t="s">
        <v>256</v>
      </c>
      <c r="G693" s="81">
        <f>32677+(364+182)</f>
        <v>33223</v>
      </c>
      <c r="H693" s="50" t="str">
        <f t="shared" si="30"/>
        <v>Dec</v>
      </c>
      <c r="I693" s="51">
        <f t="shared" ca="1" si="31"/>
        <v>25</v>
      </c>
      <c r="J693" s="52" t="s">
        <v>262</v>
      </c>
      <c r="K693" s="53">
        <v>31260</v>
      </c>
      <c r="L693" s="54">
        <v>5</v>
      </c>
      <c r="M693" s="59">
        <f t="shared" si="32"/>
        <v>31260</v>
      </c>
    </row>
    <row r="694" spans="1:15" x14ac:dyDescent="0.25">
      <c r="A694" s="39" t="s">
        <v>324</v>
      </c>
      <c r="B694" s="46" t="s">
        <v>271</v>
      </c>
      <c r="C694" s="39" t="s">
        <v>312</v>
      </c>
      <c r="D694" s="102">
        <v>513140687</v>
      </c>
      <c r="E694" s="102">
        <v>9192163497</v>
      </c>
      <c r="F694" s="39" t="s">
        <v>247</v>
      </c>
      <c r="G694" s="81">
        <f>32682+(364+182)</f>
        <v>33228</v>
      </c>
      <c r="H694" s="50" t="str">
        <f t="shared" si="30"/>
        <v>Dec</v>
      </c>
      <c r="I694" s="51">
        <f t="shared" ca="1" si="31"/>
        <v>25</v>
      </c>
      <c r="J694" s="52"/>
      <c r="K694" s="53">
        <v>42940</v>
      </c>
      <c r="L694" s="54">
        <v>1</v>
      </c>
      <c r="M694" s="59">
        <f t="shared" si="32"/>
        <v>42940</v>
      </c>
    </row>
    <row r="695" spans="1:15" x14ac:dyDescent="0.25">
      <c r="A695" s="39" t="s">
        <v>801</v>
      </c>
      <c r="B695" s="46" t="s">
        <v>271</v>
      </c>
      <c r="C695" s="39" t="s">
        <v>767</v>
      </c>
      <c r="D695" s="102">
        <v>554029540</v>
      </c>
      <c r="E695" s="102">
        <v>2521544288</v>
      </c>
      <c r="F695" s="39" t="s">
        <v>247</v>
      </c>
      <c r="G695" s="81">
        <f>32688+(364+182)</f>
        <v>33234</v>
      </c>
      <c r="H695" s="50" t="str">
        <f t="shared" si="30"/>
        <v>Dec</v>
      </c>
      <c r="I695" s="51">
        <f t="shared" ca="1" si="31"/>
        <v>25</v>
      </c>
      <c r="J695" s="52"/>
      <c r="K695" s="53">
        <v>58650</v>
      </c>
      <c r="L695" s="54">
        <v>4</v>
      </c>
      <c r="M695" s="59">
        <f t="shared" si="32"/>
        <v>58650</v>
      </c>
    </row>
    <row r="696" spans="1:15" x14ac:dyDescent="0.25">
      <c r="A696" s="39" t="s">
        <v>854</v>
      </c>
      <c r="B696" s="46" t="s">
        <v>285</v>
      </c>
      <c r="C696" s="39" t="s">
        <v>767</v>
      </c>
      <c r="D696" s="102">
        <v>828395582</v>
      </c>
      <c r="E696" s="102">
        <v>9198591986</v>
      </c>
      <c r="F696" s="39" t="s">
        <v>256</v>
      </c>
      <c r="G696" s="81">
        <f>33027+(364+182)</f>
        <v>33573</v>
      </c>
      <c r="H696" s="50" t="str">
        <f t="shared" si="30"/>
        <v>Dec</v>
      </c>
      <c r="I696" s="51">
        <f t="shared" ca="1" si="31"/>
        <v>24</v>
      </c>
      <c r="J696" s="52" t="s">
        <v>276</v>
      </c>
      <c r="K696" s="53">
        <v>71680</v>
      </c>
      <c r="L696" s="54">
        <v>4</v>
      </c>
      <c r="M696" s="59">
        <f t="shared" si="32"/>
        <v>71680</v>
      </c>
    </row>
    <row r="697" spans="1:15" x14ac:dyDescent="0.25">
      <c r="A697" s="39" t="s">
        <v>327</v>
      </c>
      <c r="B697" s="46" t="s">
        <v>271</v>
      </c>
      <c r="C697" s="39" t="s">
        <v>312</v>
      </c>
      <c r="D697" s="102">
        <v>459522265</v>
      </c>
      <c r="E697" s="102">
        <v>2524633649</v>
      </c>
      <c r="F697" s="39" t="s">
        <v>256</v>
      </c>
      <c r="G697" s="81">
        <f>33029+(364+182)</f>
        <v>33575</v>
      </c>
      <c r="H697" s="50" t="str">
        <f t="shared" si="30"/>
        <v>Dec</v>
      </c>
      <c r="I697" s="51">
        <f t="shared" ca="1" si="31"/>
        <v>24</v>
      </c>
      <c r="J697" s="52" t="s">
        <v>262</v>
      </c>
      <c r="K697" s="53">
        <v>61400</v>
      </c>
      <c r="L697" s="54">
        <v>5</v>
      </c>
      <c r="M697" s="59">
        <f t="shared" si="32"/>
        <v>61400</v>
      </c>
    </row>
    <row r="698" spans="1:15" x14ac:dyDescent="0.25">
      <c r="A698" s="39" t="s">
        <v>747</v>
      </c>
      <c r="B698" s="46" t="s">
        <v>271</v>
      </c>
      <c r="C698" s="39" t="s">
        <v>705</v>
      </c>
      <c r="D698" s="102">
        <v>617795992</v>
      </c>
      <c r="E698" s="102">
        <v>2526345909</v>
      </c>
      <c r="F698" s="39" t="s">
        <v>256</v>
      </c>
      <c r="G698" s="81">
        <f>33032+(364+182)</f>
        <v>33578</v>
      </c>
      <c r="H698" s="50" t="str">
        <f t="shared" si="30"/>
        <v>Dec</v>
      </c>
      <c r="I698" s="51">
        <f t="shared" ca="1" si="31"/>
        <v>24</v>
      </c>
      <c r="J698" s="52" t="s">
        <v>257</v>
      </c>
      <c r="K698" s="53">
        <v>43580</v>
      </c>
      <c r="L698" s="54">
        <v>5</v>
      </c>
      <c r="M698" s="59">
        <f t="shared" si="32"/>
        <v>43580</v>
      </c>
    </row>
    <row r="699" spans="1:15" x14ac:dyDescent="0.25">
      <c r="A699" s="39" t="s">
        <v>794</v>
      </c>
      <c r="B699" s="46" t="s">
        <v>245</v>
      </c>
      <c r="C699" s="39" t="s">
        <v>767</v>
      </c>
      <c r="D699" s="102">
        <v>452255054</v>
      </c>
      <c r="E699" s="102">
        <v>9196114005</v>
      </c>
      <c r="F699" s="39" t="s">
        <v>247</v>
      </c>
      <c r="G699" s="81">
        <f>33032+(364+182)</f>
        <v>33578</v>
      </c>
      <c r="H699" s="50" t="str">
        <f t="shared" si="30"/>
        <v>Dec</v>
      </c>
      <c r="I699" s="51">
        <f t="shared" ca="1" si="31"/>
        <v>24</v>
      </c>
      <c r="J699" s="52"/>
      <c r="K699" s="53">
        <v>50840</v>
      </c>
      <c r="L699" s="54">
        <v>4</v>
      </c>
      <c r="M699" s="59">
        <f t="shared" si="32"/>
        <v>50840</v>
      </c>
    </row>
    <row r="700" spans="1:15" x14ac:dyDescent="0.25">
      <c r="A700" s="39" t="s">
        <v>758</v>
      </c>
      <c r="B700" s="46" t="s">
        <v>245</v>
      </c>
      <c r="C700" s="39" t="s">
        <v>750</v>
      </c>
      <c r="D700" s="102">
        <v>360904659</v>
      </c>
      <c r="E700" s="102">
        <v>2523766803</v>
      </c>
      <c r="F700" s="39" t="s">
        <v>256</v>
      </c>
      <c r="G700" s="81">
        <f>33042+(364+182)</f>
        <v>33588</v>
      </c>
      <c r="H700" s="50" t="str">
        <f t="shared" si="30"/>
        <v>Dec</v>
      </c>
      <c r="I700" s="51">
        <f t="shared" ca="1" si="31"/>
        <v>24</v>
      </c>
      <c r="J700" s="52" t="s">
        <v>283</v>
      </c>
      <c r="K700" s="53">
        <v>44620</v>
      </c>
      <c r="L700" s="54">
        <v>5</v>
      </c>
      <c r="M700" s="59">
        <f t="shared" si="32"/>
        <v>44620</v>
      </c>
    </row>
    <row r="701" spans="1:15" x14ac:dyDescent="0.25">
      <c r="A701" s="39" t="s">
        <v>442</v>
      </c>
      <c r="B701" s="46" t="s">
        <v>271</v>
      </c>
      <c r="C701" s="39" t="s">
        <v>417</v>
      </c>
      <c r="D701" s="102">
        <v>249760737</v>
      </c>
      <c r="E701" s="102">
        <v>2522969056</v>
      </c>
      <c r="F701" s="39" t="s">
        <v>247</v>
      </c>
      <c r="G701" s="81">
        <f>33403+(364+182)</f>
        <v>33949</v>
      </c>
      <c r="H701" s="50" t="str">
        <f t="shared" si="30"/>
        <v>Dec</v>
      </c>
      <c r="I701" s="51">
        <f t="shared" ca="1" si="31"/>
        <v>23</v>
      </c>
      <c r="J701" s="52"/>
      <c r="K701" s="53">
        <v>81070</v>
      </c>
      <c r="L701" s="54">
        <v>5</v>
      </c>
      <c r="M701" s="59">
        <f t="shared" si="32"/>
        <v>81070</v>
      </c>
    </row>
    <row r="702" spans="1:15" x14ac:dyDescent="0.25">
      <c r="A702" s="39" t="s">
        <v>839</v>
      </c>
      <c r="B702" s="46" t="s">
        <v>271</v>
      </c>
      <c r="C702" s="39" t="s">
        <v>767</v>
      </c>
      <c r="D702" s="102">
        <v>638495756</v>
      </c>
      <c r="E702" s="102">
        <v>2528922252</v>
      </c>
      <c r="F702" s="39" t="s">
        <v>247</v>
      </c>
      <c r="G702" s="81">
        <f>33403+(364+182)</f>
        <v>33949</v>
      </c>
      <c r="H702" s="50" t="str">
        <f t="shared" si="30"/>
        <v>Dec</v>
      </c>
      <c r="I702" s="51">
        <f t="shared" ca="1" si="31"/>
        <v>23</v>
      </c>
      <c r="J702" s="52"/>
      <c r="K702" s="53">
        <v>44720</v>
      </c>
      <c r="L702" s="54">
        <v>2</v>
      </c>
      <c r="M702" s="59">
        <f t="shared" si="32"/>
        <v>44720</v>
      </c>
    </row>
    <row r="703" spans="1:15" x14ac:dyDescent="0.25">
      <c r="A703" s="39" t="s">
        <v>950</v>
      </c>
      <c r="B703" s="46" t="s">
        <v>271</v>
      </c>
      <c r="C703" s="39" t="s">
        <v>930</v>
      </c>
      <c r="D703" s="102">
        <v>595022550</v>
      </c>
      <c r="E703" s="102">
        <v>9195621928</v>
      </c>
      <c r="F703" s="39" t="s">
        <v>256</v>
      </c>
      <c r="G703" s="81">
        <f>33411+(364+182)</f>
        <v>33957</v>
      </c>
      <c r="H703" s="50" t="str">
        <f t="shared" si="30"/>
        <v>Dec</v>
      </c>
      <c r="I703" s="51">
        <f t="shared" ca="1" si="31"/>
        <v>23</v>
      </c>
      <c r="J703" s="52" t="s">
        <v>262</v>
      </c>
      <c r="K703" s="53">
        <v>59490</v>
      </c>
      <c r="L703" s="54">
        <v>3</v>
      </c>
      <c r="M703" s="59">
        <f t="shared" si="32"/>
        <v>59490</v>
      </c>
    </row>
    <row r="704" spans="1:15" x14ac:dyDescent="0.25">
      <c r="A704" s="39" t="s">
        <v>976</v>
      </c>
      <c r="B704" s="46" t="s">
        <v>271</v>
      </c>
      <c r="C704" s="39" t="s">
        <v>930</v>
      </c>
      <c r="D704" s="102">
        <v>855663308</v>
      </c>
      <c r="E704" s="102">
        <v>9195797109</v>
      </c>
      <c r="F704" s="39" t="s">
        <v>256</v>
      </c>
      <c r="G704" s="81">
        <f>34124+(364+182)</f>
        <v>34670</v>
      </c>
      <c r="H704" s="50" t="str">
        <f t="shared" si="30"/>
        <v>Dec</v>
      </c>
      <c r="I704" s="51">
        <f t="shared" ca="1" si="31"/>
        <v>21</v>
      </c>
      <c r="J704" s="52" t="s">
        <v>257</v>
      </c>
      <c r="K704" s="53">
        <v>69510</v>
      </c>
      <c r="L704" s="54">
        <v>5</v>
      </c>
      <c r="M704" s="59">
        <f t="shared" si="32"/>
        <v>69510</v>
      </c>
    </row>
    <row r="705" spans="1:15" x14ac:dyDescent="0.25">
      <c r="A705" s="39" t="s">
        <v>488</v>
      </c>
      <c r="B705" s="46" t="s">
        <v>266</v>
      </c>
      <c r="C705" s="39" t="s">
        <v>465</v>
      </c>
      <c r="D705" s="102">
        <v>165917010</v>
      </c>
      <c r="E705" s="102">
        <v>2527038033</v>
      </c>
      <c r="F705" s="39" t="s">
        <v>247</v>
      </c>
      <c r="G705" s="81">
        <f>34125+(364+182)</f>
        <v>34671</v>
      </c>
      <c r="H705" s="50" t="str">
        <f t="shared" si="30"/>
        <v>Dec</v>
      </c>
      <c r="I705" s="51">
        <f t="shared" ca="1" si="31"/>
        <v>21</v>
      </c>
      <c r="J705" s="52"/>
      <c r="K705" s="53">
        <v>80690</v>
      </c>
      <c r="L705" s="54">
        <v>3</v>
      </c>
      <c r="M705" s="59">
        <f t="shared" si="32"/>
        <v>80690</v>
      </c>
    </row>
    <row r="706" spans="1:15" x14ac:dyDescent="0.25">
      <c r="A706" s="39" t="s">
        <v>844</v>
      </c>
      <c r="B706" s="46" t="s">
        <v>280</v>
      </c>
      <c r="C706" s="39" t="s">
        <v>767</v>
      </c>
      <c r="D706" s="102">
        <v>422463024</v>
      </c>
      <c r="E706" s="102">
        <v>9193876146</v>
      </c>
      <c r="F706" s="39" t="s">
        <v>256</v>
      </c>
      <c r="G706" s="81">
        <f>34147+(364+182)</f>
        <v>34693</v>
      </c>
      <c r="H706" s="50" t="str">
        <f t="shared" si="30"/>
        <v>Dec</v>
      </c>
      <c r="I706" s="51">
        <f t="shared" ca="1" si="31"/>
        <v>21</v>
      </c>
      <c r="J706" s="52" t="s">
        <v>262</v>
      </c>
      <c r="K706" s="53">
        <v>88820</v>
      </c>
      <c r="L706" s="54">
        <v>2</v>
      </c>
      <c r="M706" s="59">
        <f t="shared" si="32"/>
        <v>88820</v>
      </c>
    </row>
    <row r="707" spans="1:15" x14ac:dyDescent="0.25">
      <c r="A707" s="39" t="s">
        <v>887</v>
      </c>
      <c r="B707" s="46" t="s">
        <v>266</v>
      </c>
      <c r="C707" s="39" t="s">
        <v>856</v>
      </c>
      <c r="D707" s="102">
        <v>687623890</v>
      </c>
      <c r="E707" s="102">
        <v>2522447501</v>
      </c>
      <c r="F707" s="39" t="s">
        <v>252</v>
      </c>
      <c r="G707" s="81">
        <f>34488+(364+182)</f>
        <v>35034</v>
      </c>
      <c r="H707" s="50" t="str">
        <f t="shared" ref="H707:H743" si="33">CHOOSE(MONTH(G707),"Jan","Feb","Mar","Apr","May","Jun","Jul","Aug","Sep","Oct","Nov","Dec")</f>
        <v>Dec</v>
      </c>
      <c r="I707" s="51">
        <f t="shared" ref="I707:I743" ca="1" si="34">DATEDIF(G707,TODAY(),"Y")</f>
        <v>20</v>
      </c>
      <c r="J707" s="52"/>
      <c r="K707" s="53">
        <v>23692</v>
      </c>
      <c r="L707" s="54">
        <v>4</v>
      </c>
      <c r="M707" s="59">
        <f t="shared" ref="M707:M743" si="35">ROUND(K707*P705+K707,0)</f>
        <v>23692</v>
      </c>
    </row>
    <row r="708" spans="1:15" x14ac:dyDescent="0.25">
      <c r="A708" s="39" t="s">
        <v>1016</v>
      </c>
      <c r="B708" s="46" t="s">
        <v>285</v>
      </c>
      <c r="C708" s="39" t="s">
        <v>930</v>
      </c>
      <c r="D708" s="102">
        <v>992674973</v>
      </c>
      <c r="E708" s="102">
        <v>2526088101</v>
      </c>
      <c r="F708" s="39" t="s">
        <v>256</v>
      </c>
      <c r="G708" s="81">
        <f>34506+(364+182)</f>
        <v>35052</v>
      </c>
      <c r="H708" s="50" t="str">
        <f t="shared" si="33"/>
        <v>Dec</v>
      </c>
      <c r="I708" s="51">
        <f t="shared" ca="1" si="34"/>
        <v>20</v>
      </c>
      <c r="J708" s="52" t="s">
        <v>267</v>
      </c>
      <c r="K708" s="53">
        <v>64780</v>
      </c>
      <c r="L708" s="54">
        <v>5</v>
      </c>
      <c r="M708" s="59">
        <f t="shared" si="35"/>
        <v>64780</v>
      </c>
    </row>
    <row r="709" spans="1:15" x14ac:dyDescent="0.25">
      <c r="A709" s="39" t="s">
        <v>861</v>
      </c>
      <c r="B709" s="46" t="s">
        <v>271</v>
      </c>
      <c r="C709" s="39" t="s">
        <v>856</v>
      </c>
      <c r="D709" s="102">
        <v>412159105</v>
      </c>
      <c r="E709" s="102">
        <v>9198252392</v>
      </c>
      <c r="F709" s="39" t="s">
        <v>252</v>
      </c>
      <c r="G709" s="81">
        <f>34856+(364+182)</f>
        <v>35402</v>
      </c>
      <c r="H709" s="50" t="str">
        <f t="shared" si="33"/>
        <v>Dec</v>
      </c>
      <c r="I709" s="51">
        <f t="shared" ca="1" si="34"/>
        <v>19</v>
      </c>
      <c r="J709" s="52"/>
      <c r="K709" s="53">
        <v>33508</v>
      </c>
      <c r="L709" s="54">
        <v>4</v>
      </c>
      <c r="M709" s="59">
        <f t="shared" si="35"/>
        <v>33508</v>
      </c>
    </row>
    <row r="710" spans="1:15" x14ac:dyDescent="0.25">
      <c r="A710" s="39" t="s">
        <v>924</v>
      </c>
      <c r="B710" s="46" t="s">
        <v>285</v>
      </c>
      <c r="C710" s="39" t="s">
        <v>856</v>
      </c>
      <c r="D710" s="102">
        <v>984881714</v>
      </c>
      <c r="E710" s="102">
        <v>9196973131</v>
      </c>
      <c r="F710" s="39" t="s">
        <v>256</v>
      </c>
      <c r="G710" s="81">
        <f>34862+(364+182)</f>
        <v>35408</v>
      </c>
      <c r="H710" s="50" t="str">
        <f t="shared" si="33"/>
        <v>Dec</v>
      </c>
      <c r="I710" s="51">
        <f t="shared" ca="1" si="34"/>
        <v>19</v>
      </c>
      <c r="J710" s="52" t="s">
        <v>283</v>
      </c>
      <c r="K710" s="53">
        <v>34330</v>
      </c>
      <c r="L710" s="54">
        <v>3</v>
      </c>
      <c r="M710" s="59">
        <f t="shared" si="35"/>
        <v>34330</v>
      </c>
    </row>
    <row r="711" spans="1:15" x14ac:dyDescent="0.25">
      <c r="A711" s="39" t="s">
        <v>727</v>
      </c>
      <c r="B711" s="46" t="s">
        <v>271</v>
      </c>
      <c r="C711" s="39" t="s">
        <v>705</v>
      </c>
      <c r="D711" s="102">
        <v>803776506</v>
      </c>
      <c r="E711" s="102">
        <v>2526920236</v>
      </c>
      <c r="F711" s="39" t="s">
        <v>256</v>
      </c>
      <c r="G711" s="81">
        <f>34866+(364+182)</f>
        <v>35412</v>
      </c>
      <c r="H711" s="50" t="str">
        <f t="shared" si="33"/>
        <v>Dec</v>
      </c>
      <c r="I711" s="51">
        <f t="shared" ca="1" si="34"/>
        <v>19</v>
      </c>
      <c r="J711" s="52" t="s">
        <v>262</v>
      </c>
      <c r="K711" s="53">
        <v>77950</v>
      </c>
      <c r="L711" s="54">
        <v>4</v>
      </c>
      <c r="M711" s="59">
        <f t="shared" si="35"/>
        <v>77950</v>
      </c>
    </row>
    <row r="712" spans="1:15" x14ac:dyDescent="0.25">
      <c r="A712" s="39" t="s">
        <v>668</v>
      </c>
      <c r="B712" s="46" t="s">
        <v>271</v>
      </c>
      <c r="C712" s="39" t="s">
        <v>626</v>
      </c>
      <c r="D712" s="102">
        <v>626767704</v>
      </c>
      <c r="E712" s="102">
        <v>2526971022</v>
      </c>
      <c r="F712" s="39" t="s">
        <v>247</v>
      </c>
      <c r="G712" s="81">
        <f>35230+(364+182)</f>
        <v>35776</v>
      </c>
      <c r="H712" s="50" t="str">
        <f t="shared" si="33"/>
        <v>Dec</v>
      </c>
      <c r="I712" s="51">
        <f t="shared" ca="1" si="34"/>
        <v>18</v>
      </c>
      <c r="J712" s="52"/>
      <c r="K712" s="53">
        <v>77930</v>
      </c>
      <c r="L712" s="54">
        <v>5</v>
      </c>
      <c r="M712" s="59">
        <f t="shared" si="35"/>
        <v>77930</v>
      </c>
    </row>
    <row r="713" spans="1:15" x14ac:dyDescent="0.25">
      <c r="A713" s="39" t="s">
        <v>963</v>
      </c>
      <c r="B713" s="46" t="s">
        <v>266</v>
      </c>
      <c r="C713" s="39" t="s">
        <v>930</v>
      </c>
      <c r="D713" s="102">
        <v>941937371</v>
      </c>
      <c r="E713" s="102">
        <v>9195060466</v>
      </c>
      <c r="F713" s="39" t="s">
        <v>256</v>
      </c>
      <c r="G713" s="81">
        <f>35230+(364+182)</f>
        <v>35776</v>
      </c>
      <c r="H713" s="50" t="str">
        <f t="shared" si="33"/>
        <v>Dec</v>
      </c>
      <c r="I713" s="51">
        <f t="shared" ca="1" si="34"/>
        <v>18</v>
      </c>
      <c r="J713" s="52" t="s">
        <v>257</v>
      </c>
      <c r="K713" s="53">
        <v>86320</v>
      </c>
      <c r="L713" s="54">
        <v>4</v>
      </c>
      <c r="M713" s="59">
        <f t="shared" si="35"/>
        <v>86320</v>
      </c>
    </row>
    <row r="714" spans="1:15" x14ac:dyDescent="0.25">
      <c r="A714" s="39" t="s">
        <v>789</v>
      </c>
      <c r="B714" s="46" t="s">
        <v>251</v>
      </c>
      <c r="C714" s="39" t="s">
        <v>767</v>
      </c>
      <c r="D714" s="102">
        <v>265323292</v>
      </c>
      <c r="E714" s="102">
        <v>2522939413</v>
      </c>
      <c r="F714" s="39" t="s">
        <v>256</v>
      </c>
      <c r="G714" s="81">
        <f>35590+(364+182)</f>
        <v>36136</v>
      </c>
      <c r="H714" s="50" t="str">
        <f t="shared" si="33"/>
        <v>Dec</v>
      </c>
      <c r="I714" s="51">
        <f t="shared" ca="1" si="34"/>
        <v>17</v>
      </c>
      <c r="J714" s="52" t="s">
        <v>283</v>
      </c>
      <c r="K714" s="53">
        <v>45000</v>
      </c>
      <c r="L714" s="54">
        <v>4</v>
      </c>
      <c r="M714" s="59">
        <f t="shared" si="35"/>
        <v>45000</v>
      </c>
    </row>
    <row r="715" spans="1:15" x14ac:dyDescent="0.25">
      <c r="A715" s="39" t="s">
        <v>294</v>
      </c>
      <c r="B715" s="46" t="s">
        <v>251</v>
      </c>
      <c r="C715" s="39" t="s">
        <v>272</v>
      </c>
      <c r="D715" s="102">
        <v>481336564</v>
      </c>
      <c r="E715" s="102">
        <v>9196479087</v>
      </c>
      <c r="F715" s="39" t="s">
        <v>256</v>
      </c>
      <c r="G715" s="81">
        <f>35597+(364+182)</f>
        <v>36143</v>
      </c>
      <c r="H715" s="50" t="str">
        <f t="shared" si="33"/>
        <v>Dec</v>
      </c>
      <c r="I715" s="51">
        <f t="shared" ca="1" si="34"/>
        <v>17</v>
      </c>
      <c r="J715" s="52" t="s">
        <v>283</v>
      </c>
      <c r="K715" s="53">
        <v>72090</v>
      </c>
      <c r="L715" s="54">
        <v>5</v>
      </c>
      <c r="M715" s="59">
        <f t="shared" si="35"/>
        <v>72090</v>
      </c>
    </row>
    <row r="716" spans="1:15" x14ac:dyDescent="0.25">
      <c r="A716" s="39" t="s">
        <v>521</v>
      </c>
      <c r="B716" s="46" t="s">
        <v>271</v>
      </c>
      <c r="C716" s="39" t="s">
        <v>465</v>
      </c>
      <c r="D716" s="102">
        <v>698869555</v>
      </c>
      <c r="E716" s="102">
        <v>2526052545</v>
      </c>
      <c r="F716" s="39" t="s">
        <v>261</v>
      </c>
      <c r="G716" s="81">
        <f>35957+(364+182)</f>
        <v>36503</v>
      </c>
      <c r="H716" s="50" t="str">
        <f t="shared" si="33"/>
        <v>Dec</v>
      </c>
      <c r="I716" s="51">
        <f t="shared" ca="1" si="34"/>
        <v>16</v>
      </c>
      <c r="J716" s="52" t="s">
        <v>267</v>
      </c>
      <c r="K716" s="53">
        <v>41615</v>
      </c>
      <c r="L716" s="54">
        <v>1</v>
      </c>
      <c r="M716" s="59">
        <f t="shared" si="35"/>
        <v>41615</v>
      </c>
    </row>
    <row r="717" spans="1:15" x14ac:dyDescent="0.25">
      <c r="A717" s="39" t="s">
        <v>316</v>
      </c>
      <c r="B717" s="46" t="s">
        <v>285</v>
      </c>
      <c r="C717" s="39" t="s">
        <v>312</v>
      </c>
      <c r="D717" s="102">
        <v>334574480</v>
      </c>
      <c r="E717" s="102">
        <v>2525165289</v>
      </c>
      <c r="F717" s="39" t="s">
        <v>256</v>
      </c>
      <c r="G717" s="81">
        <f>35960+(364+182)</f>
        <v>36506</v>
      </c>
      <c r="H717" s="50" t="str">
        <f t="shared" si="33"/>
        <v>Dec</v>
      </c>
      <c r="I717" s="51">
        <f t="shared" ca="1" si="34"/>
        <v>16</v>
      </c>
      <c r="J717" s="52" t="s">
        <v>283</v>
      </c>
      <c r="K717" s="53">
        <v>32100</v>
      </c>
      <c r="L717" s="54">
        <v>1</v>
      </c>
      <c r="M717" s="59">
        <f t="shared" si="35"/>
        <v>32100</v>
      </c>
      <c r="O717" s="101"/>
    </row>
    <row r="718" spans="1:15" x14ac:dyDescent="0.25">
      <c r="A718" s="39" t="s">
        <v>862</v>
      </c>
      <c r="B718" s="46" t="s">
        <v>266</v>
      </c>
      <c r="C718" s="39" t="s">
        <v>856</v>
      </c>
      <c r="D718" s="102">
        <v>889210902</v>
      </c>
      <c r="E718" s="102">
        <v>2527422559</v>
      </c>
      <c r="F718" s="39" t="s">
        <v>256</v>
      </c>
      <c r="G718" s="81">
        <f>35968+(364+182)</f>
        <v>36514</v>
      </c>
      <c r="H718" s="50" t="str">
        <f t="shared" si="33"/>
        <v>Dec</v>
      </c>
      <c r="I718" s="51">
        <f t="shared" ca="1" si="34"/>
        <v>16</v>
      </c>
      <c r="J718" s="52" t="s">
        <v>283</v>
      </c>
      <c r="K718" s="53">
        <v>48250</v>
      </c>
      <c r="L718" s="54">
        <v>3</v>
      </c>
      <c r="M718" s="59">
        <f t="shared" si="35"/>
        <v>48250</v>
      </c>
    </row>
    <row r="719" spans="1:15" x14ac:dyDescent="0.25">
      <c r="A719" s="39" t="s">
        <v>457</v>
      </c>
      <c r="B719" s="46" t="s">
        <v>271</v>
      </c>
      <c r="C719" s="39" t="s">
        <v>456</v>
      </c>
      <c r="D719" s="102">
        <v>351268538</v>
      </c>
      <c r="E719" s="102">
        <v>2525610944</v>
      </c>
      <c r="F719" s="39" t="s">
        <v>252</v>
      </c>
      <c r="G719" s="81">
        <f>35973+(364+182)</f>
        <v>36519</v>
      </c>
      <c r="H719" s="50" t="str">
        <f t="shared" si="33"/>
        <v>Dec</v>
      </c>
      <c r="I719" s="51">
        <f t="shared" ca="1" si="34"/>
        <v>16</v>
      </c>
      <c r="J719" s="52" t="s">
        <v>283</v>
      </c>
      <c r="K719" s="53">
        <v>61860</v>
      </c>
      <c r="L719" s="54">
        <v>5</v>
      </c>
      <c r="M719" s="59">
        <f t="shared" si="35"/>
        <v>61860</v>
      </c>
    </row>
    <row r="720" spans="1:15" x14ac:dyDescent="0.25">
      <c r="A720" s="39" t="s">
        <v>558</v>
      </c>
      <c r="B720" s="46" t="s">
        <v>280</v>
      </c>
      <c r="C720" s="39" t="s">
        <v>465</v>
      </c>
      <c r="D720" s="102">
        <v>312019803</v>
      </c>
      <c r="E720" s="102">
        <v>9197961953</v>
      </c>
      <c r="F720" s="39" t="s">
        <v>256</v>
      </c>
      <c r="G720" s="81">
        <f>36683+(364+182)</f>
        <v>37229</v>
      </c>
      <c r="H720" s="50" t="str">
        <f t="shared" si="33"/>
        <v>Dec</v>
      </c>
      <c r="I720" s="51">
        <f t="shared" ca="1" si="34"/>
        <v>14</v>
      </c>
      <c r="J720" s="52" t="s">
        <v>283</v>
      </c>
      <c r="K720" s="53">
        <v>25310</v>
      </c>
      <c r="L720" s="54">
        <v>4</v>
      </c>
      <c r="M720" s="59">
        <f t="shared" si="35"/>
        <v>25310</v>
      </c>
    </row>
    <row r="721" spans="1:15" x14ac:dyDescent="0.25">
      <c r="A721" s="39" t="s">
        <v>693</v>
      </c>
      <c r="B721" s="46" t="s">
        <v>245</v>
      </c>
      <c r="C721" s="39" t="s">
        <v>678</v>
      </c>
      <c r="D721" s="102">
        <v>261486180</v>
      </c>
      <c r="E721" s="102">
        <v>2522523567</v>
      </c>
      <c r="F721" s="39" t="s">
        <v>247</v>
      </c>
      <c r="G721" s="81">
        <f>36690+(364+182)</f>
        <v>37236</v>
      </c>
      <c r="H721" s="50" t="str">
        <f t="shared" si="33"/>
        <v>Dec</v>
      </c>
      <c r="I721" s="51">
        <f t="shared" ca="1" si="34"/>
        <v>14</v>
      </c>
      <c r="J721" s="52"/>
      <c r="K721" s="53">
        <v>29540</v>
      </c>
      <c r="L721" s="54">
        <v>3</v>
      </c>
      <c r="M721" s="59">
        <f t="shared" si="35"/>
        <v>29540</v>
      </c>
    </row>
    <row r="722" spans="1:15" x14ac:dyDescent="0.25">
      <c r="A722" s="39" t="s">
        <v>337</v>
      </c>
      <c r="B722" s="46" t="s">
        <v>271</v>
      </c>
      <c r="C722" s="39" t="s">
        <v>312</v>
      </c>
      <c r="D722" s="102">
        <v>831188207</v>
      </c>
      <c r="E722" s="102">
        <v>9192121334</v>
      </c>
      <c r="F722" s="39" t="s">
        <v>256</v>
      </c>
      <c r="G722" s="81">
        <f>36695+(364+182)</f>
        <v>37241</v>
      </c>
      <c r="H722" s="50" t="str">
        <f t="shared" si="33"/>
        <v>Dec</v>
      </c>
      <c r="I722" s="51">
        <f t="shared" ca="1" si="34"/>
        <v>14</v>
      </c>
      <c r="J722" s="52" t="s">
        <v>257</v>
      </c>
      <c r="K722" s="53">
        <v>71950</v>
      </c>
      <c r="L722" s="54">
        <v>5</v>
      </c>
      <c r="M722" s="59">
        <f t="shared" si="35"/>
        <v>71950</v>
      </c>
    </row>
    <row r="723" spans="1:15" x14ac:dyDescent="0.25">
      <c r="A723" s="39" t="s">
        <v>787</v>
      </c>
      <c r="B723" s="46" t="s">
        <v>271</v>
      </c>
      <c r="C723" s="39" t="s">
        <v>767</v>
      </c>
      <c r="D723" s="102">
        <v>209846975</v>
      </c>
      <c r="E723" s="102">
        <v>2522639452</v>
      </c>
      <c r="F723" s="39" t="s">
        <v>261</v>
      </c>
      <c r="G723" s="81">
        <f>36703+(364+182)</f>
        <v>37249</v>
      </c>
      <c r="H723" s="50" t="str">
        <f t="shared" si="33"/>
        <v>Dec</v>
      </c>
      <c r="I723" s="51">
        <f t="shared" ca="1" si="34"/>
        <v>14</v>
      </c>
      <c r="J723" s="52" t="s">
        <v>276</v>
      </c>
      <c r="K723" s="53">
        <v>12545</v>
      </c>
      <c r="L723" s="54">
        <v>4</v>
      </c>
      <c r="M723" s="59">
        <f t="shared" si="35"/>
        <v>12545</v>
      </c>
    </row>
    <row r="724" spans="1:15" x14ac:dyDescent="0.25">
      <c r="A724" s="39" t="s">
        <v>397</v>
      </c>
      <c r="B724" s="46" t="s">
        <v>266</v>
      </c>
      <c r="C724" s="39" t="s">
        <v>391</v>
      </c>
      <c r="D724" s="102">
        <v>434927073</v>
      </c>
      <c r="E724" s="102">
        <v>2528440900</v>
      </c>
      <c r="F724" s="39" t="s">
        <v>256</v>
      </c>
      <c r="G724" s="81">
        <f>37066+(364+182)</f>
        <v>37612</v>
      </c>
      <c r="H724" s="50" t="str">
        <f t="shared" si="33"/>
        <v>Dec</v>
      </c>
      <c r="I724" s="51">
        <f t="shared" ca="1" si="34"/>
        <v>13</v>
      </c>
      <c r="J724" s="52" t="s">
        <v>267</v>
      </c>
      <c r="K724" s="53">
        <v>39740</v>
      </c>
      <c r="L724" s="54">
        <v>1</v>
      </c>
      <c r="M724" s="59">
        <f t="shared" si="35"/>
        <v>39740</v>
      </c>
    </row>
    <row r="725" spans="1:15" x14ac:dyDescent="0.25">
      <c r="A725" s="39" t="s">
        <v>527</v>
      </c>
      <c r="B725" s="46" t="s">
        <v>245</v>
      </c>
      <c r="C725" s="39" t="s">
        <v>465</v>
      </c>
      <c r="D725" s="102">
        <v>488831244</v>
      </c>
      <c r="E725" s="102">
        <v>9198979762</v>
      </c>
      <c r="F725" s="39" t="s">
        <v>261</v>
      </c>
      <c r="G725" s="81">
        <f>37074+(364+182)</f>
        <v>37620</v>
      </c>
      <c r="H725" s="50" t="str">
        <f t="shared" si="33"/>
        <v>Dec</v>
      </c>
      <c r="I725" s="51">
        <f t="shared" ca="1" si="34"/>
        <v>13</v>
      </c>
      <c r="J725" s="52" t="s">
        <v>257</v>
      </c>
      <c r="K725" s="53">
        <v>24460</v>
      </c>
      <c r="L725" s="54">
        <v>1</v>
      </c>
      <c r="M725" s="59">
        <f t="shared" si="35"/>
        <v>24460</v>
      </c>
    </row>
    <row r="726" spans="1:15" x14ac:dyDescent="0.25">
      <c r="A726" s="39" t="s">
        <v>311</v>
      </c>
      <c r="B726" s="46" t="s">
        <v>245</v>
      </c>
      <c r="C726" s="39" t="s">
        <v>312</v>
      </c>
      <c r="D726" s="102">
        <v>365117800</v>
      </c>
      <c r="E726" s="102">
        <v>2524125146</v>
      </c>
      <c r="F726" s="39" t="s">
        <v>256</v>
      </c>
      <c r="G726" s="81">
        <f>37414+(364+182)</f>
        <v>37960</v>
      </c>
      <c r="H726" s="50" t="str">
        <f t="shared" si="33"/>
        <v>Dec</v>
      </c>
      <c r="I726" s="51">
        <f t="shared" ca="1" si="34"/>
        <v>12</v>
      </c>
      <c r="J726" s="52" t="s">
        <v>257</v>
      </c>
      <c r="K726" s="53">
        <v>66890</v>
      </c>
      <c r="L726" s="54">
        <v>5</v>
      </c>
      <c r="M726" s="59">
        <f t="shared" si="35"/>
        <v>66890</v>
      </c>
    </row>
    <row r="727" spans="1:15" x14ac:dyDescent="0.25">
      <c r="A727" s="39" t="s">
        <v>986</v>
      </c>
      <c r="B727" s="46" t="s">
        <v>285</v>
      </c>
      <c r="C727" s="39" t="s">
        <v>930</v>
      </c>
      <c r="D727" s="102">
        <v>862698919</v>
      </c>
      <c r="E727" s="102">
        <v>2522780847</v>
      </c>
      <c r="F727" s="39" t="s">
        <v>256</v>
      </c>
      <c r="G727" s="81">
        <f>37782+(364+182)</f>
        <v>38328</v>
      </c>
      <c r="H727" s="50" t="str">
        <f t="shared" si="33"/>
        <v>Dec</v>
      </c>
      <c r="I727" s="51">
        <f t="shared" ca="1" si="34"/>
        <v>11</v>
      </c>
      <c r="J727" s="52" t="s">
        <v>262</v>
      </c>
      <c r="K727" s="53">
        <v>48280</v>
      </c>
      <c r="L727" s="54">
        <v>4</v>
      </c>
      <c r="M727" s="59">
        <f t="shared" si="35"/>
        <v>48280</v>
      </c>
    </row>
    <row r="728" spans="1:15" x14ac:dyDescent="0.25">
      <c r="A728" s="39" t="s">
        <v>982</v>
      </c>
      <c r="B728" s="46" t="s">
        <v>245</v>
      </c>
      <c r="C728" s="39" t="s">
        <v>930</v>
      </c>
      <c r="D728" s="102">
        <v>683670378</v>
      </c>
      <c r="E728" s="102">
        <v>9196259106</v>
      </c>
      <c r="F728" s="39" t="s">
        <v>256</v>
      </c>
      <c r="G728" s="81">
        <f>37801+(364+182)</f>
        <v>38347</v>
      </c>
      <c r="H728" s="50" t="str">
        <f t="shared" si="33"/>
        <v>Dec</v>
      </c>
      <c r="I728" s="51">
        <f t="shared" ca="1" si="34"/>
        <v>11</v>
      </c>
      <c r="J728" s="52" t="s">
        <v>283</v>
      </c>
      <c r="K728" s="53">
        <v>81340</v>
      </c>
      <c r="L728" s="54">
        <v>2</v>
      </c>
      <c r="M728" s="59">
        <f t="shared" si="35"/>
        <v>81340</v>
      </c>
    </row>
    <row r="729" spans="1:15" x14ac:dyDescent="0.25">
      <c r="A729" s="39" t="s">
        <v>290</v>
      </c>
      <c r="B729" s="46" t="s">
        <v>266</v>
      </c>
      <c r="C729" s="39" t="s">
        <v>272</v>
      </c>
      <c r="D729" s="102">
        <v>840313216</v>
      </c>
      <c r="E729" s="102">
        <v>9198449868</v>
      </c>
      <c r="F729" s="39" t="s">
        <v>256</v>
      </c>
      <c r="G729" s="81">
        <f>38523+(364+182)</f>
        <v>39069</v>
      </c>
      <c r="H729" s="50" t="str">
        <f t="shared" si="33"/>
        <v>Dec</v>
      </c>
      <c r="I729" s="51">
        <f t="shared" ca="1" si="34"/>
        <v>9</v>
      </c>
      <c r="J729" s="52" t="s">
        <v>267</v>
      </c>
      <c r="K729" s="53">
        <v>37670</v>
      </c>
      <c r="L729" s="54">
        <v>3</v>
      </c>
      <c r="M729" s="59">
        <f t="shared" si="35"/>
        <v>37670</v>
      </c>
    </row>
    <row r="730" spans="1:15" x14ac:dyDescent="0.25">
      <c r="A730" s="39" t="s">
        <v>308</v>
      </c>
      <c r="B730" s="46" t="s">
        <v>285</v>
      </c>
      <c r="C730" s="39" t="s">
        <v>307</v>
      </c>
      <c r="D730" s="102">
        <v>534034571</v>
      </c>
      <c r="E730" s="102">
        <v>2526169135</v>
      </c>
      <c r="F730" s="39" t="s">
        <v>261</v>
      </c>
      <c r="G730" s="81">
        <f>38871+(364+182)</f>
        <v>39417</v>
      </c>
      <c r="H730" s="50" t="str">
        <f t="shared" si="33"/>
        <v>Dec</v>
      </c>
      <c r="I730" s="51">
        <f t="shared" ca="1" si="34"/>
        <v>8</v>
      </c>
      <c r="J730" s="52" t="s">
        <v>267</v>
      </c>
      <c r="K730" s="53">
        <v>46095</v>
      </c>
      <c r="L730" s="54">
        <v>3</v>
      </c>
      <c r="M730" s="59">
        <f t="shared" si="35"/>
        <v>46095</v>
      </c>
    </row>
    <row r="731" spans="1:15" x14ac:dyDescent="0.25">
      <c r="A731" s="39" t="s">
        <v>965</v>
      </c>
      <c r="B731" s="46" t="s">
        <v>280</v>
      </c>
      <c r="C731" s="39" t="s">
        <v>930</v>
      </c>
      <c r="D731" s="102">
        <v>230192897</v>
      </c>
      <c r="E731" s="102">
        <v>2525261239</v>
      </c>
      <c r="F731" s="39" t="s">
        <v>256</v>
      </c>
      <c r="G731" s="81">
        <f>38895+(364+182)</f>
        <v>39441</v>
      </c>
      <c r="H731" s="50" t="str">
        <f t="shared" si="33"/>
        <v>Dec</v>
      </c>
      <c r="I731" s="51">
        <f t="shared" ca="1" si="34"/>
        <v>8</v>
      </c>
      <c r="J731" s="52" t="s">
        <v>262</v>
      </c>
      <c r="K731" s="53">
        <v>68860</v>
      </c>
      <c r="L731" s="54">
        <v>2</v>
      </c>
      <c r="M731" s="59">
        <f t="shared" si="35"/>
        <v>68860</v>
      </c>
    </row>
    <row r="732" spans="1:15" x14ac:dyDescent="0.25">
      <c r="A732" s="39" t="s">
        <v>849</v>
      </c>
      <c r="B732" s="46" t="s">
        <v>285</v>
      </c>
      <c r="C732" s="39" t="s">
        <v>767</v>
      </c>
      <c r="D732" s="102">
        <v>592519945</v>
      </c>
      <c r="E732" s="102">
        <v>9195990200</v>
      </c>
      <c r="F732" s="39" t="s">
        <v>256</v>
      </c>
      <c r="G732" s="81">
        <f>38900+(364+182)</f>
        <v>39446</v>
      </c>
      <c r="H732" s="50" t="str">
        <f t="shared" si="33"/>
        <v>Dec</v>
      </c>
      <c r="I732" s="51">
        <f t="shared" ca="1" si="34"/>
        <v>8</v>
      </c>
      <c r="J732" s="52" t="s">
        <v>257</v>
      </c>
      <c r="K732" s="53">
        <v>44650</v>
      </c>
      <c r="L732" s="54">
        <v>1</v>
      </c>
      <c r="M732" s="59">
        <f t="shared" si="35"/>
        <v>44650</v>
      </c>
    </row>
    <row r="733" spans="1:15" x14ac:dyDescent="0.25">
      <c r="A733" s="45" t="s">
        <v>265</v>
      </c>
      <c r="B733" s="46" t="s">
        <v>266</v>
      </c>
      <c r="C733" s="45" t="s">
        <v>246</v>
      </c>
      <c r="D733" s="106">
        <v>991656720</v>
      </c>
      <c r="E733" s="106">
        <v>2528138394</v>
      </c>
      <c r="F733" s="45" t="s">
        <v>256</v>
      </c>
      <c r="G733" s="105">
        <f>38901+(364+182)</f>
        <v>39447</v>
      </c>
      <c r="H733" s="50" t="str">
        <f t="shared" si="33"/>
        <v>Dec</v>
      </c>
      <c r="I733" s="51">
        <f t="shared" ca="1" si="34"/>
        <v>8</v>
      </c>
      <c r="J733" s="52" t="s">
        <v>267</v>
      </c>
      <c r="K733" s="53">
        <v>72830</v>
      </c>
      <c r="L733" s="54">
        <v>2</v>
      </c>
      <c r="M733" s="59">
        <f t="shared" si="35"/>
        <v>72830</v>
      </c>
      <c r="O733" s="104"/>
    </row>
    <row r="734" spans="1:15" x14ac:dyDescent="0.25">
      <c r="A734" s="39" t="s">
        <v>720</v>
      </c>
      <c r="B734" s="46" t="s">
        <v>280</v>
      </c>
      <c r="C734" s="39" t="s">
        <v>705</v>
      </c>
      <c r="D734" s="102">
        <v>291803431</v>
      </c>
      <c r="E734" s="102">
        <v>2525866679</v>
      </c>
      <c r="F734" s="39" t="s">
        <v>247</v>
      </c>
      <c r="G734" s="81">
        <f>39237+(364+182)</f>
        <v>39783</v>
      </c>
      <c r="H734" s="50" t="str">
        <f t="shared" si="33"/>
        <v>Dec</v>
      </c>
      <c r="I734" s="51">
        <f t="shared" ca="1" si="34"/>
        <v>7</v>
      </c>
      <c r="J734" s="52"/>
      <c r="K734" s="53">
        <v>54000</v>
      </c>
      <c r="L734" s="54">
        <v>3</v>
      </c>
      <c r="M734" s="59">
        <f t="shared" si="35"/>
        <v>54000</v>
      </c>
    </row>
    <row r="735" spans="1:15" x14ac:dyDescent="0.25">
      <c r="A735" s="39" t="s">
        <v>362</v>
      </c>
      <c r="B735" s="46" t="s">
        <v>266</v>
      </c>
      <c r="C735" s="39" t="s">
        <v>312</v>
      </c>
      <c r="D735" s="102">
        <v>600458368</v>
      </c>
      <c r="E735" s="102">
        <v>9197280453</v>
      </c>
      <c r="F735" s="39" t="s">
        <v>261</v>
      </c>
      <c r="G735" s="81">
        <f>39256+(364+182)</f>
        <v>39802</v>
      </c>
      <c r="H735" s="50" t="str">
        <f t="shared" si="33"/>
        <v>Dec</v>
      </c>
      <c r="I735" s="51">
        <f t="shared" ca="1" si="34"/>
        <v>7</v>
      </c>
      <c r="J735" s="52" t="s">
        <v>276</v>
      </c>
      <c r="K735" s="53">
        <v>22535</v>
      </c>
      <c r="L735" s="54">
        <v>3</v>
      </c>
      <c r="M735" s="59">
        <f t="shared" si="35"/>
        <v>22535</v>
      </c>
    </row>
    <row r="736" spans="1:15" x14ac:dyDescent="0.25">
      <c r="A736" s="39" t="s">
        <v>309</v>
      </c>
      <c r="B736" s="46" t="s">
        <v>271</v>
      </c>
      <c r="C736" s="39" t="s">
        <v>307</v>
      </c>
      <c r="D736" s="102">
        <v>601942708</v>
      </c>
      <c r="E736" s="102">
        <v>9198085402</v>
      </c>
      <c r="F736" s="39" t="s">
        <v>261</v>
      </c>
      <c r="G736" s="81">
        <f>39606+(364+182)</f>
        <v>40152</v>
      </c>
      <c r="H736" s="50" t="str">
        <f t="shared" si="33"/>
        <v>Dec</v>
      </c>
      <c r="I736" s="51">
        <f t="shared" ca="1" si="34"/>
        <v>6</v>
      </c>
      <c r="J736" s="52" t="s">
        <v>283</v>
      </c>
      <c r="K736" s="53">
        <v>28680</v>
      </c>
      <c r="L736" s="54">
        <v>1</v>
      </c>
      <c r="M736" s="59">
        <f t="shared" si="35"/>
        <v>28680</v>
      </c>
    </row>
    <row r="737" spans="1:15" x14ac:dyDescent="0.25">
      <c r="A737" s="39" t="s">
        <v>1059</v>
      </c>
      <c r="B737" s="46" t="s">
        <v>271</v>
      </c>
      <c r="C737" s="39" t="s">
        <v>767</v>
      </c>
      <c r="D737" s="102">
        <v>924942231</v>
      </c>
      <c r="E737" s="102">
        <v>9193279828</v>
      </c>
      <c r="F737" s="39" t="s">
        <v>261</v>
      </c>
      <c r="G737" s="81">
        <f>39620+(364+182)</f>
        <v>40166</v>
      </c>
      <c r="H737" s="50" t="str">
        <f t="shared" si="33"/>
        <v>Dec</v>
      </c>
      <c r="I737" s="51">
        <f t="shared" ca="1" si="34"/>
        <v>6</v>
      </c>
      <c r="J737" s="52" t="s">
        <v>276</v>
      </c>
      <c r="K737" s="53">
        <v>25245</v>
      </c>
      <c r="L737" s="54">
        <v>5</v>
      </c>
      <c r="M737" s="59">
        <f t="shared" si="35"/>
        <v>25245</v>
      </c>
    </row>
    <row r="738" spans="1:15" x14ac:dyDescent="0.25">
      <c r="A738" s="39" t="s">
        <v>581</v>
      </c>
      <c r="B738" s="46" t="s">
        <v>266</v>
      </c>
      <c r="C738" s="39" t="s">
        <v>465</v>
      </c>
      <c r="D738" s="102">
        <v>425634540</v>
      </c>
      <c r="E738" s="102">
        <v>9196969994</v>
      </c>
      <c r="F738" s="39" t="s">
        <v>256</v>
      </c>
      <c r="G738" s="81">
        <f>39629+(364+182)</f>
        <v>40175</v>
      </c>
      <c r="H738" s="50" t="str">
        <f t="shared" si="33"/>
        <v>Dec</v>
      </c>
      <c r="I738" s="51">
        <f t="shared" ca="1" si="34"/>
        <v>6</v>
      </c>
      <c r="J738" s="52" t="s">
        <v>267</v>
      </c>
      <c r="K738" s="53">
        <v>34690</v>
      </c>
      <c r="L738" s="54">
        <v>2</v>
      </c>
      <c r="M738" s="59">
        <f t="shared" si="35"/>
        <v>34690</v>
      </c>
    </row>
    <row r="739" spans="1:15" x14ac:dyDescent="0.25">
      <c r="A739" s="39" t="s">
        <v>384</v>
      </c>
      <c r="B739" s="46" t="s">
        <v>271</v>
      </c>
      <c r="C739" s="39" t="s">
        <v>381</v>
      </c>
      <c r="D739" s="102">
        <v>324622113</v>
      </c>
      <c r="E739" s="102">
        <v>9198824849</v>
      </c>
      <c r="F739" s="39" t="s">
        <v>261</v>
      </c>
      <c r="G739" s="103">
        <f>39970+(364+182)</f>
        <v>40516</v>
      </c>
      <c r="H739" s="50" t="str">
        <f t="shared" si="33"/>
        <v>Dec</v>
      </c>
      <c r="I739" s="51">
        <f t="shared" ca="1" si="34"/>
        <v>5</v>
      </c>
      <c r="J739" s="52" t="s">
        <v>283</v>
      </c>
      <c r="K739" s="53">
        <v>28625</v>
      </c>
      <c r="L739" s="54">
        <v>1</v>
      </c>
      <c r="M739" s="59">
        <f t="shared" si="35"/>
        <v>28625</v>
      </c>
      <c r="O739" s="101"/>
    </row>
    <row r="740" spans="1:15" x14ac:dyDescent="0.25">
      <c r="A740" s="39" t="s">
        <v>981</v>
      </c>
      <c r="B740" s="46" t="s">
        <v>285</v>
      </c>
      <c r="C740" s="39" t="s">
        <v>930</v>
      </c>
      <c r="D740" s="102">
        <v>717503282</v>
      </c>
      <c r="E740" s="102">
        <v>2522400087</v>
      </c>
      <c r="F740" s="39" t="s">
        <v>247</v>
      </c>
      <c r="G740" s="81">
        <f>39977+(364+182)</f>
        <v>40523</v>
      </c>
      <c r="H740" s="50" t="str">
        <f t="shared" si="33"/>
        <v>Dec</v>
      </c>
      <c r="I740" s="51">
        <f t="shared" ca="1" si="34"/>
        <v>5</v>
      </c>
      <c r="J740" s="52"/>
      <c r="K740" s="53">
        <v>46570</v>
      </c>
      <c r="L740" s="54">
        <v>4</v>
      </c>
      <c r="M740" s="59">
        <f t="shared" si="35"/>
        <v>46570</v>
      </c>
    </row>
    <row r="741" spans="1:15" x14ac:dyDescent="0.25">
      <c r="A741" s="39" t="s">
        <v>681</v>
      </c>
      <c r="B741" s="46" t="s">
        <v>280</v>
      </c>
      <c r="C741" s="39" t="s">
        <v>678</v>
      </c>
      <c r="D741" s="102">
        <v>478004556</v>
      </c>
      <c r="E741" s="102">
        <v>9193891189</v>
      </c>
      <c r="F741" s="39" t="s">
        <v>256</v>
      </c>
      <c r="G741" s="81">
        <f>39987+(364+182)</f>
        <v>40533</v>
      </c>
      <c r="H741" s="50" t="str">
        <f t="shared" si="33"/>
        <v>Dec</v>
      </c>
      <c r="I741" s="51">
        <f t="shared" ca="1" si="34"/>
        <v>5</v>
      </c>
      <c r="J741" s="52" t="s">
        <v>276</v>
      </c>
      <c r="K741" s="53">
        <v>62180</v>
      </c>
      <c r="L741" s="54">
        <v>2</v>
      </c>
      <c r="M741" s="59">
        <f t="shared" si="35"/>
        <v>62180</v>
      </c>
    </row>
    <row r="742" spans="1:15" x14ac:dyDescent="0.25">
      <c r="A742" s="39" t="s">
        <v>1019</v>
      </c>
      <c r="B742" s="46" t="s">
        <v>266</v>
      </c>
      <c r="C742" s="39" t="s">
        <v>930</v>
      </c>
      <c r="D742" s="102">
        <v>929694686</v>
      </c>
      <c r="E742" s="102">
        <v>9194483888</v>
      </c>
      <c r="F742" s="39" t="s">
        <v>256</v>
      </c>
      <c r="G742" s="103">
        <f>39990+(364+182)</f>
        <v>40536</v>
      </c>
      <c r="H742" s="50" t="str">
        <f t="shared" si="33"/>
        <v>Dec</v>
      </c>
      <c r="I742" s="51">
        <f t="shared" ca="1" si="34"/>
        <v>5</v>
      </c>
      <c r="J742" s="52" t="s">
        <v>283</v>
      </c>
      <c r="K742" s="53">
        <v>70730</v>
      </c>
      <c r="L742" s="54">
        <v>1</v>
      </c>
      <c r="M742" s="59">
        <f t="shared" si="35"/>
        <v>70730</v>
      </c>
    </row>
    <row r="743" spans="1:15" x14ac:dyDescent="0.25">
      <c r="A743" s="39" t="s">
        <v>1032</v>
      </c>
      <c r="B743" s="46" t="s">
        <v>266</v>
      </c>
      <c r="C743" s="39" t="s">
        <v>1031</v>
      </c>
      <c r="D743" s="102">
        <v>827277063</v>
      </c>
      <c r="E743" s="102">
        <v>2528873234</v>
      </c>
      <c r="F743" s="39" t="s">
        <v>252</v>
      </c>
      <c r="G743" s="81">
        <f>39997+(364+182)</f>
        <v>40543</v>
      </c>
      <c r="H743" s="50" t="str">
        <f t="shared" si="33"/>
        <v>Dec</v>
      </c>
      <c r="I743" s="51">
        <f t="shared" ca="1" si="34"/>
        <v>5</v>
      </c>
      <c r="J743" s="52"/>
      <c r="K743" s="53">
        <v>19044</v>
      </c>
      <c r="L743" s="54">
        <v>1</v>
      </c>
      <c r="M743" s="59">
        <f t="shared" si="35"/>
        <v>19044</v>
      </c>
      <c r="O743" s="101"/>
    </row>
  </sheetData>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AM373"/>
  <sheetViews>
    <sheetView topLeftCell="A19" zoomScaleNormal="100" zoomScalePageLayoutView="80" workbookViewId="0">
      <selection activeCell="B35" sqref="B35"/>
    </sheetView>
  </sheetViews>
  <sheetFormatPr defaultColWidth="9.7109375" defaultRowHeight="15.75" x14ac:dyDescent="0.25"/>
  <cols>
    <col min="1" max="1" width="39.7109375" style="126" bestFit="1" customWidth="1"/>
    <col min="2" max="2" width="5.85546875" style="126" bestFit="1" customWidth="1"/>
    <col min="3" max="11" width="9.42578125" style="126" bestFit="1" customWidth="1"/>
    <col min="12" max="12" width="12.28515625" style="126" bestFit="1" customWidth="1"/>
    <col min="13" max="14" width="9.42578125" style="126" bestFit="1" customWidth="1"/>
    <col min="15" max="16" width="12.28515625" style="126" bestFit="1" customWidth="1"/>
    <col min="17" max="17" width="11.7109375" style="126" bestFit="1" customWidth="1"/>
    <col min="18" max="24" width="11.7109375" style="127" customWidth="1"/>
    <col min="25" max="31" width="12.85546875" style="126" customWidth="1"/>
    <col min="32" max="33" width="5.28515625" style="126" bestFit="1" customWidth="1"/>
    <col min="34" max="34" width="12" style="126" bestFit="1" customWidth="1"/>
    <col min="35" max="35" width="10" style="126" bestFit="1" customWidth="1"/>
    <col min="36" max="37" width="12.28515625" style="126" bestFit="1" customWidth="1"/>
    <col min="38" max="38" width="32.85546875" style="126" bestFit="1" customWidth="1"/>
    <col min="39" max="39" width="39.7109375" style="126" bestFit="1" customWidth="1"/>
    <col min="40" max="16384" width="9.7109375" style="126"/>
  </cols>
  <sheetData>
    <row r="1" spans="1:39" x14ac:dyDescent="0.25">
      <c r="A1" s="135" t="s">
        <v>1398</v>
      </c>
      <c r="B1" s="133" t="s">
        <v>1405</v>
      </c>
      <c r="C1" s="133" t="s">
        <v>248</v>
      </c>
      <c r="D1" s="133" t="s">
        <v>253</v>
      </c>
      <c r="E1" s="133" t="s">
        <v>258</v>
      </c>
      <c r="F1" s="133" t="s">
        <v>263</v>
      </c>
      <c r="G1" s="133" t="s">
        <v>268</v>
      </c>
      <c r="H1" s="133" t="s">
        <v>273</v>
      </c>
      <c r="I1" s="133" t="s">
        <v>249</v>
      </c>
      <c r="J1" s="133" t="s">
        <v>254</v>
      </c>
      <c r="K1" s="133" t="s">
        <v>259</v>
      </c>
      <c r="L1" s="133" t="s">
        <v>264</v>
      </c>
      <c r="M1" s="133" t="s">
        <v>269</v>
      </c>
      <c r="N1" s="133" t="s">
        <v>274</v>
      </c>
      <c r="O1" s="133" t="s">
        <v>1404</v>
      </c>
      <c r="P1" s="133" t="s">
        <v>1403</v>
      </c>
      <c r="Q1" s="133" t="s">
        <v>1402</v>
      </c>
      <c r="R1" s="132"/>
      <c r="S1" s="132"/>
      <c r="T1" s="132"/>
      <c r="U1" s="132"/>
      <c r="V1" s="132"/>
      <c r="W1" s="132"/>
      <c r="X1" s="132"/>
      <c r="AF1" s="126">
        <f>22*12</f>
        <v>264</v>
      </c>
      <c r="AG1" s="126" t="s">
        <v>1425</v>
      </c>
      <c r="AH1" s="126" t="s">
        <v>1424</v>
      </c>
      <c r="AI1" s="126" t="s">
        <v>1064</v>
      </c>
      <c r="AJ1" s="126" t="s">
        <v>1423</v>
      </c>
      <c r="AK1" s="126" t="s">
        <v>1403</v>
      </c>
      <c r="AL1" s="126" t="s">
        <v>1422</v>
      </c>
      <c r="AM1" s="126" t="s">
        <v>1421</v>
      </c>
    </row>
    <row r="2" spans="1:39" x14ac:dyDescent="0.25">
      <c r="A2" s="134"/>
      <c r="B2" s="133" t="s">
        <v>1405</v>
      </c>
      <c r="C2" s="133" t="s">
        <v>248</v>
      </c>
      <c r="D2" s="133" t="s">
        <v>253</v>
      </c>
      <c r="E2" s="133" t="s">
        <v>258</v>
      </c>
      <c r="F2" s="133" t="s">
        <v>263</v>
      </c>
      <c r="G2" s="133" t="s">
        <v>268</v>
      </c>
      <c r="H2" s="133" t="s">
        <v>273</v>
      </c>
      <c r="I2" s="133" t="s">
        <v>249</v>
      </c>
      <c r="J2" s="133" t="s">
        <v>254</v>
      </c>
      <c r="K2" s="133" t="s">
        <v>259</v>
      </c>
      <c r="L2" s="133" t="s">
        <v>264</v>
      </c>
      <c r="M2" s="133" t="s">
        <v>269</v>
      </c>
      <c r="N2" s="133" t="s">
        <v>274</v>
      </c>
      <c r="O2" s="133" t="s">
        <v>1404</v>
      </c>
      <c r="P2" s="133" t="s">
        <v>1403</v>
      </c>
      <c r="Q2" s="133" t="s">
        <v>1402</v>
      </c>
      <c r="R2" s="132"/>
      <c r="S2" s="132"/>
      <c r="T2" s="132"/>
      <c r="U2" s="132"/>
      <c r="V2" s="132"/>
      <c r="W2" s="132"/>
      <c r="X2" s="132"/>
      <c r="AG2" s="126">
        <v>1</v>
      </c>
      <c r="AH2" s="126" t="s">
        <v>1396</v>
      </c>
      <c r="AI2" s="128">
        <f t="shared" ref="AI2:AI65" si="0">DATE(YEAR(INDEX($B$2:$N$24,INT((AG2+11)/12)+1,1)),IF(MOD(AG2,12)&lt;&gt;0,MOD(AG2,12),12),1)</f>
        <v>40909</v>
      </c>
      <c r="AJ2" s="126">
        <f t="shared" ref="AJ2:AJ65" si="1">INDEX($C$3:$N$24,INT((AG2+11)/12),AG2-(12*(INT((AG2+11)/12)-1)))</f>
        <v>254444.04</v>
      </c>
      <c r="AK2" s="126">
        <f t="array" ref="AK2">INDEX($P$3:$P$24,MATCH(AM2&amp;YEAR(AI2),$A$3:$A$24&amp;YEAR($B$3:$B$24),0))</f>
        <v>2269948</v>
      </c>
      <c r="AL2" s="126" t="s">
        <v>1398</v>
      </c>
      <c r="AM2" s="126" t="str">
        <f t="shared" ref="AM2:AM65" si="2">INDEX($A$3:$A$24,INT((AG2+11)/12))</f>
        <v>Sales Tax (313-10)</v>
      </c>
    </row>
    <row r="3" spans="1:39" x14ac:dyDescent="0.25">
      <c r="A3" s="137" t="s">
        <v>1420</v>
      </c>
      <c r="B3" s="130">
        <v>40909</v>
      </c>
      <c r="C3" s="126">
        <v>254444.04</v>
      </c>
      <c r="D3" s="126">
        <v>172370.77</v>
      </c>
      <c r="E3" s="126">
        <v>166338.4</v>
      </c>
      <c r="F3" s="126">
        <v>198050.11</v>
      </c>
      <c r="G3" s="126">
        <v>175396.57</v>
      </c>
      <c r="H3" s="126">
        <v>192730.7</v>
      </c>
      <c r="I3" s="126">
        <v>210542.91</v>
      </c>
      <c r="J3" s="126">
        <v>186995.25</v>
      </c>
      <c r="K3" s="126">
        <v>193126.16</v>
      </c>
      <c r="L3" s="126">
        <v>201075.42</v>
      </c>
      <c r="M3" s="126">
        <v>183900.06</v>
      </c>
      <c r="N3" s="126">
        <v>193134.43</v>
      </c>
      <c r="O3" s="129">
        <f t="shared" ref="O3:O26" si="3">SUM(C3:N3)</f>
        <v>2328104.8199999998</v>
      </c>
      <c r="P3" s="140">
        <v>2269948</v>
      </c>
      <c r="Q3" s="129">
        <f t="shared" ref="Q3:Q26" si="4">O3-P3</f>
        <v>58156.819999999832</v>
      </c>
      <c r="AG3" s="126">
        <v>2</v>
      </c>
      <c r="AH3" s="126" t="s">
        <v>1396</v>
      </c>
      <c r="AI3" s="128">
        <f t="shared" si="0"/>
        <v>40940</v>
      </c>
      <c r="AJ3" s="126">
        <f t="shared" si="1"/>
        <v>172370.77</v>
      </c>
      <c r="AK3" s="126">
        <f t="array" ref="AK3">INDEX($P$3:$P$24,MATCH(AM3&amp;YEAR(AI3),$A$3:$A$24&amp;YEAR($B$3:$B$24),0))</f>
        <v>2269948</v>
      </c>
      <c r="AL3" s="126" t="s">
        <v>1398</v>
      </c>
      <c r="AM3" s="126" t="str">
        <f t="shared" si="2"/>
        <v>Sales Tax (313-10)</v>
      </c>
    </row>
    <row r="4" spans="1:39" x14ac:dyDescent="0.25">
      <c r="A4" s="137" t="s">
        <v>1420</v>
      </c>
      <c r="B4" s="130">
        <v>41275</v>
      </c>
      <c r="C4" s="126">
        <v>266761.83</v>
      </c>
      <c r="D4" s="126">
        <v>171290.7</v>
      </c>
      <c r="E4" s="126">
        <v>174095.89</v>
      </c>
      <c r="F4" s="126">
        <v>219527.08</v>
      </c>
      <c r="G4" s="126">
        <v>192993.08</v>
      </c>
      <c r="H4" s="140"/>
      <c r="I4" s="140"/>
      <c r="J4" s="140"/>
      <c r="K4" s="140"/>
      <c r="L4" s="140"/>
      <c r="M4" s="140"/>
      <c r="N4" s="140"/>
      <c r="O4" s="129">
        <f t="shared" si="3"/>
        <v>1024668.58</v>
      </c>
      <c r="P4" s="140">
        <v>2386855</v>
      </c>
      <c r="Q4" s="129">
        <f t="shared" si="4"/>
        <v>-1362186.42</v>
      </c>
      <c r="AG4" s="126">
        <v>3</v>
      </c>
      <c r="AH4" s="126" t="s">
        <v>1396</v>
      </c>
      <c r="AI4" s="128">
        <f t="shared" si="0"/>
        <v>40969</v>
      </c>
      <c r="AJ4" s="126">
        <f t="shared" si="1"/>
        <v>166338.4</v>
      </c>
      <c r="AK4" s="126">
        <f t="array" ref="AK4">INDEX($P$3:$P$24,MATCH(AM4&amp;YEAR(AI4),$A$3:$A$24&amp;YEAR($B$3:$B$24),0))</f>
        <v>2269948</v>
      </c>
      <c r="AL4" s="126" t="s">
        <v>1398</v>
      </c>
      <c r="AM4" s="126" t="str">
        <f t="shared" si="2"/>
        <v>Sales Tax (313-10)</v>
      </c>
    </row>
    <row r="5" spans="1:39" x14ac:dyDescent="0.25">
      <c r="A5" s="137" t="s">
        <v>1419</v>
      </c>
      <c r="B5" s="130">
        <v>40909</v>
      </c>
      <c r="C5" s="126">
        <v>33891.089999999997</v>
      </c>
      <c r="D5" s="126">
        <v>21130.39</v>
      </c>
      <c r="E5" s="126">
        <v>27015.23</v>
      </c>
      <c r="F5" s="126">
        <v>29858.67</v>
      </c>
      <c r="G5" s="126">
        <v>29429.32</v>
      </c>
      <c r="H5" s="126">
        <v>55879.22</v>
      </c>
      <c r="I5" s="126">
        <v>29662.74</v>
      </c>
      <c r="J5" s="126">
        <v>25699.18</v>
      </c>
      <c r="K5" s="126">
        <v>31261.79</v>
      </c>
      <c r="L5" s="126">
        <v>37199.75</v>
      </c>
      <c r="M5" s="126">
        <v>28862.53</v>
      </c>
      <c r="N5" s="126">
        <v>30683.279999999999</v>
      </c>
      <c r="O5" s="129">
        <f t="shared" si="3"/>
        <v>380573.18999999994</v>
      </c>
      <c r="P5" s="140">
        <v>326868</v>
      </c>
      <c r="Q5" s="129">
        <f t="shared" si="4"/>
        <v>53705.189999999944</v>
      </c>
      <c r="AG5" s="126">
        <v>4</v>
      </c>
      <c r="AH5" s="126" t="s">
        <v>1396</v>
      </c>
      <c r="AI5" s="128">
        <f t="shared" si="0"/>
        <v>41000</v>
      </c>
      <c r="AJ5" s="126">
        <f t="shared" si="1"/>
        <v>198050.11</v>
      </c>
      <c r="AK5" s="126">
        <f t="array" ref="AK5">INDEX($P$3:$P$24,MATCH(AM5&amp;YEAR(AI5),$A$3:$A$24&amp;YEAR($B$3:$B$24),0))</f>
        <v>2269948</v>
      </c>
      <c r="AL5" s="126" t="s">
        <v>1398</v>
      </c>
      <c r="AM5" s="126" t="str">
        <f t="shared" si="2"/>
        <v>Sales Tax (313-10)</v>
      </c>
    </row>
    <row r="6" spans="1:39" x14ac:dyDescent="0.25">
      <c r="A6" s="137" t="s">
        <v>1419</v>
      </c>
      <c r="B6" s="130">
        <v>41275</v>
      </c>
      <c r="C6" s="126">
        <v>42273.53</v>
      </c>
      <c r="D6" s="126">
        <v>31845.59</v>
      </c>
      <c r="E6" s="126">
        <v>26771.77</v>
      </c>
      <c r="F6" s="126">
        <v>52875.7</v>
      </c>
      <c r="G6" s="126">
        <v>34177.94</v>
      </c>
      <c r="H6" s="140"/>
      <c r="I6" s="140"/>
      <c r="J6" s="140"/>
      <c r="K6" s="140"/>
      <c r="L6" s="140"/>
      <c r="M6" s="140"/>
      <c r="N6" s="140"/>
      <c r="O6" s="129">
        <f t="shared" si="3"/>
        <v>187944.53</v>
      </c>
      <c r="P6" s="140">
        <v>322023</v>
      </c>
      <c r="Q6" s="129">
        <f t="shared" si="4"/>
        <v>-134078.47</v>
      </c>
      <c r="AG6" s="126">
        <v>5</v>
      </c>
      <c r="AH6" s="126" t="s">
        <v>1396</v>
      </c>
      <c r="AI6" s="128">
        <f t="shared" si="0"/>
        <v>41030</v>
      </c>
      <c r="AJ6" s="126">
        <f t="shared" si="1"/>
        <v>175396.57</v>
      </c>
      <c r="AK6" s="126">
        <f t="array" ref="AK6">INDEX($P$3:$P$24,MATCH(AM6&amp;YEAR(AI6),$A$3:$A$24&amp;YEAR($B$3:$B$24),0))</f>
        <v>2269948</v>
      </c>
      <c r="AL6" s="126" t="s">
        <v>1398</v>
      </c>
      <c r="AM6" s="126" t="str">
        <f t="shared" si="2"/>
        <v>Sales Tax (313-10)</v>
      </c>
    </row>
    <row r="7" spans="1:39" x14ac:dyDescent="0.25">
      <c r="A7" s="137" t="s">
        <v>1418</v>
      </c>
      <c r="B7" s="130">
        <v>40909</v>
      </c>
      <c r="C7" s="140">
        <v>0</v>
      </c>
      <c r="D7" s="140">
        <v>0</v>
      </c>
      <c r="E7" s="140">
        <v>0</v>
      </c>
      <c r="F7" s="140">
        <v>0</v>
      </c>
      <c r="G7" s="140">
        <v>0</v>
      </c>
      <c r="H7" s="140">
        <v>0</v>
      </c>
      <c r="I7" s="140">
        <v>0</v>
      </c>
      <c r="J7" s="140">
        <v>0</v>
      </c>
      <c r="K7" s="140">
        <v>0</v>
      </c>
      <c r="L7" s="140">
        <v>0</v>
      </c>
      <c r="M7" s="140">
        <v>0</v>
      </c>
      <c r="N7" s="126">
        <v>8682.44</v>
      </c>
      <c r="O7" s="129">
        <f t="shared" si="3"/>
        <v>8682.44</v>
      </c>
      <c r="P7" s="140">
        <v>0</v>
      </c>
      <c r="Q7" s="129">
        <f t="shared" si="4"/>
        <v>8682.44</v>
      </c>
      <c r="AG7" s="126">
        <v>6</v>
      </c>
      <c r="AH7" s="126" t="s">
        <v>1396</v>
      </c>
      <c r="AI7" s="128">
        <f t="shared" si="0"/>
        <v>41061</v>
      </c>
      <c r="AJ7" s="126">
        <f t="shared" si="1"/>
        <v>192730.7</v>
      </c>
      <c r="AK7" s="126">
        <f t="array" ref="AK7">INDEX($P$3:$P$24,MATCH(AM7&amp;YEAR(AI7),$A$3:$A$24&amp;YEAR($B$3:$B$24),0))</f>
        <v>2269948</v>
      </c>
      <c r="AL7" s="126" t="s">
        <v>1398</v>
      </c>
      <c r="AM7" s="126" t="str">
        <f t="shared" si="2"/>
        <v>Sales Tax (313-10)</v>
      </c>
    </row>
    <row r="8" spans="1:39" x14ac:dyDescent="0.25">
      <c r="A8" s="137" t="s">
        <v>1418</v>
      </c>
      <c r="B8" s="130">
        <v>41275</v>
      </c>
      <c r="C8" s="140"/>
      <c r="D8" s="140"/>
      <c r="E8" s="140">
        <v>0</v>
      </c>
      <c r="F8" s="140">
        <v>0</v>
      </c>
      <c r="G8" s="140">
        <v>0</v>
      </c>
      <c r="H8" s="140"/>
      <c r="I8" s="140"/>
      <c r="J8" s="140"/>
      <c r="K8" s="140"/>
      <c r="L8" s="140"/>
      <c r="M8" s="140"/>
      <c r="N8" s="140"/>
      <c r="O8" s="129">
        <f t="shared" si="3"/>
        <v>0</v>
      </c>
      <c r="P8" s="140"/>
      <c r="Q8" s="129">
        <f t="shared" si="4"/>
        <v>0</v>
      </c>
      <c r="AG8" s="126">
        <v>7</v>
      </c>
      <c r="AH8" s="126" t="s">
        <v>1396</v>
      </c>
      <c r="AI8" s="128">
        <f t="shared" si="0"/>
        <v>41091</v>
      </c>
      <c r="AJ8" s="126">
        <f t="shared" si="1"/>
        <v>210542.91</v>
      </c>
      <c r="AK8" s="126">
        <f t="array" ref="AK8">INDEX($P$3:$P$24,MATCH(AM8&amp;YEAR(AI8),$A$3:$A$24&amp;YEAR($B$3:$B$24),0))</f>
        <v>2269948</v>
      </c>
      <c r="AL8" s="126" t="s">
        <v>1398</v>
      </c>
      <c r="AM8" s="126" t="str">
        <f t="shared" si="2"/>
        <v>Sales Tax (313-10)</v>
      </c>
    </row>
    <row r="9" spans="1:39" x14ac:dyDescent="0.25">
      <c r="A9" s="137" t="s">
        <v>1417</v>
      </c>
      <c r="B9" s="130">
        <v>40909</v>
      </c>
      <c r="C9" s="140">
        <v>0</v>
      </c>
      <c r="D9" s="140">
        <v>0</v>
      </c>
      <c r="E9" s="140">
        <v>0</v>
      </c>
      <c r="F9" s="140">
        <v>0</v>
      </c>
      <c r="G9" s="140">
        <v>0</v>
      </c>
      <c r="H9" s="140">
        <v>0</v>
      </c>
      <c r="I9" s="140">
        <v>0</v>
      </c>
      <c r="J9" s="140">
        <v>0</v>
      </c>
      <c r="K9" s="140">
        <v>0</v>
      </c>
      <c r="L9" s="140">
        <v>0</v>
      </c>
      <c r="M9" s="140">
        <v>0</v>
      </c>
      <c r="N9" s="126">
        <v>12617.79</v>
      </c>
      <c r="O9" s="129">
        <f t="shared" si="3"/>
        <v>12617.79</v>
      </c>
      <c r="P9" s="140">
        <v>0</v>
      </c>
      <c r="Q9" s="129">
        <f t="shared" si="4"/>
        <v>12617.79</v>
      </c>
      <c r="AG9" s="126">
        <v>8</v>
      </c>
      <c r="AH9" s="126" t="s">
        <v>1396</v>
      </c>
      <c r="AI9" s="128">
        <f t="shared" si="0"/>
        <v>41122</v>
      </c>
      <c r="AJ9" s="126">
        <f t="shared" si="1"/>
        <v>186995.25</v>
      </c>
      <c r="AK9" s="126">
        <f t="array" ref="AK9">INDEX($P$3:$P$24,MATCH(AM9&amp;YEAR(AI9),$A$3:$A$24&amp;YEAR($B$3:$B$24),0))</f>
        <v>2269948</v>
      </c>
      <c r="AL9" s="126" t="s">
        <v>1398</v>
      </c>
      <c r="AM9" s="126" t="str">
        <f t="shared" si="2"/>
        <v>Sales Tax (313-10)</v>
      </c>
    </row>
    <row r="10" spans="1:39" x14ac:dyDescent="0.25">
      <c r="A10" s="137" t="s">
        <v>1417</v>
      </c>
      <c r="B10" s="130">
        <v>41275</v>
      </c>
      <c r="C10" s="140"/>
      <c r="D10" s="140"/>
      <c r="E10" s="140">
        <v>0</v>
      </c>
      <c r="F10" s="140">
        <v>0</v>
      </c>
      <c r="G10" s="140">
        <v>0</v>
      </c>
      <c r="H10" s="140"/>
      <c r="I10" s="140"/>
      <c r="J10" s="140"/>
      <c r="K10" s="140"/>
      <c r="L10" s="140"/>
      <c r="M10" s="140"/>
      <c r="N10" s="140"/>
      <c r="O10" s="129">
        <f t="shared" si="3"/>
        <v>0</v>
      </c>
      <c r="P10" s="140"/>
      <c r="Q10" s="129">
        <f t="shared" si="4"/>
        <v>0</v>
      </c>
      <c r="AG10" s="126">
        <v>9</v>
      </c>
      <c r="AH10" s="126" t="s">
        <v>1396</v>
      </c>
      <c r="AI10" s="128">
        <f t="shared" si="0"/>
        <v>41153</v>
      </c>
      <c r="AJ10" s="126">
        <f t="shared" si="1"/>
        <v>193126.16</v>
      </c>
      <c r="AK10" s="126">
        <f t="array" ref="AK10">INDEX($P$3:$P$24,MATCH(AM10&amp;YEAR(AI10),$A$3:$A$24&amp;YEAR($B$3:$B$24),0))</f>
        <v>2269948</v>
      </c>
      <c r="AL10" s="126" t="s">
        <v>1398</v>
      </c>
      <c r="AM10" s="126" t="str">
        <f t="shared" si="2"/>
        <v>Sales Tax (313-10)</v>
      </c>
    </row>
    <row r="11" spans="1:39" x14ac:dyDescent="0.25">
      <c r="A11" s="131" t="s">
        <v>1408</v>
      </c>
      <c r="B11" s="130">
        <v>40909</v>
      </c>
      <c r="C11" s="140">
        <v>0</v>
      </c>
      <c r="D11" s="140">
        <v>0</v>
      </c>
      <c r="E11" s="140">
        <v>0</v>
      </c>
      <c r="F11" s="140">
        <v>0</v>
      </c>
      <c r="G11" s="140">
        <v>0</v>
      </c>
      <c r="H11" s="140">
        <v>0</v>
      </c>
      <c r="I11" s="140">
        <v>0</v>
      </c>
      <c r="J11" s="140">
        <v>0</v>
      </c>
      <c r="K11" s="140">
        <v>0</v>
      </c>
      <c r="L11" s="140">
        <v>0</v>
      </c>
      <c r="M11" s="140">
        <v>0</v>
      </c>
      <c r="N11" s="140">
        <v>0</v>
      </c>
      <c r="O11" s="129">
        <f t="shared" si="3"/>
        <v>0</v>
      </c>
      <c r="P11" s="140">
        <v>0</v>
      </c>
      <c r="Q11" s="129">
        <f t="shared" si="4"/>
        <v>0</v>
      </c>
      <c r="AG11" s="126">
        <v>10</v>
      </c>
      <c r="AH11" s="126" t="s">
        <v>1396</v>
      </c>
      <c r="AI11" s="128">
        <f t="shared" si="0"/>
        <v>41183</v>
      </c>
      <c r="AJ11" s="126">
        <f t="shared" si="1"/>
        <v>201075.42</v>
      </c>
      <c r="AK11" s="126">
        <f t="array" ref="AK11">INDEX($P$3:$P$24,MATCH(AM11&amp;YEAR(AI11),$A$3:$A$24&amp;YEAR($B$3:$B$24),0))</f>
        <v>2269948</v>
      </c>
      <c r="AL11" s="126" t="s">
        <v>1398</v>
      </c>
      <c r="AM11" s="126" t="str">
        <f t="shared" si="2"/>
        <v>Sales Tax (313-10)</v>
      </c>
    </row>
    <row r="12" spans="1:39" x14ac:dyDescent="0.25">
      <c r="A12" s="131" t="s">
        <v>1408</v>
      </c>
      <c r="B12" s="130">
        <v>41275</v>
      </c>
      <c r="C12" s="140">
        <v>0</v>
      </c>
      <c r="D12" s="140">
        <v>0</v>
      </c>
      <c r="E12" s="140">
        <v>0</v>
      </c>
      <c r="F12" s="140">
        <v>0</v>
      </c>
      <c r="G12" s="140">
        <v>0</v>
      </c>
      <c r="H12" s="140"/>
      <c r="I12" s="140"/>
      <c r="J12" s="140"/>
      <c r="K12" s="140"/>
      <c r="L12" s="140"/>
      <c r="M12" s="140"/>
      <c r="N12" s="140"/>
      <c r="O12" s="129">
        <f t="shared" si="3"/>
        <v>0</v>
      </c>
      <c r="P12" s="140">
        <v>0</v>
      </c>
      <c r="Q12" s="129">
        <f t="shared" si="4"/>
        <v>0</v>
      </c>
      <c r="AG12" s="126">
        <v>11</v>
      </c>
      <c r="AH12" s="126" t="s">
        <v>1396</v>
      </c>
      <c r="AI12" s="128">
        <f t="shared" si="0"/>
        <v>41214</v>
      </c>
      <c r="AJ12" s="126">
        <f t="shared" si="1"/>
        <v>183900.06</v>
      </c>
      <c r="AK12" s="126">
        <f t="array" ref="AK12">INDEX($P$3:$P$24,MATCH(AM12&amp;YEAR(AI12),$A$3:$A$24&amp;YEAR($B$3:$B$24),0))</f>
        <v>2269948</v>
      </c>
      <c r="AL12" s="126" t="s">
        <v>1398</v>
      </c>
      <c r="AM12" s="126" t="str">
        <f t="shared" si="2"/>
        <v>Sales Tax (313-10)</v>
      </c>
    </row>
    <row r="13" spans="1:39" x14ac:dyDescent="0.25">
      <c r="A13" s="137" t="s">
        <v>1416</v>
      </c>
      <c r="B13" s="130">
        <v>40909</v>
      </c>
      <c r="C13" s="140">
        <v>0</v>
      </c>
      <c r="D13" s="140">
        <v>0</v>
      </c>
      <c r="E13" s="140">
        <v>0</v>
      </c>
      <c r="F13" s="140">
        <v>0</v>
      </c>
      <c r="G13" s="140">
        <v>0</v>
      </c>
      <c r="H13" s="140">
        <v>0</v>
      </c>
      <c r="I13" s="140">
        <v>0</v>
      </c>
      <c r="J13" s="140">
        <v>0</v>
      </c>
      <c r="K13" s="140">
        <v>0</v>
      </c>
      <c r="L13" s="140">
        <v>100</v>
      </c>
      <c r="M13" s="140">
        <v>0</v>
      </c>
      <c r="N13" s="140">
        <v>100</v>
      </c>
      <c r="O13" s="129">
        <f t="shared" si="3"/>
        <v>200</v>
      </c>
      <c r="P13" s="140">
        <v>0</v>
      </c>
      <c r="Q13" s="129">
        <f t="shared" si="4"/>
        <v>200</v>
      </c>
      <c r="AG13" s="126">
        <v>12</v>
      </c>
      <c r="AH13" s="126" t="s">
        <v>1396</v>
      </c>
      <c r="AI13" s="128">
        <f t="shared" si="0"/>
        <v>41244</v>
      </c>
      <c r="AJ13" s="126">
        <f t="shared" si="1"/>
        <v>193134.43</v>
      </c>
      <c r="AK13" s="126">
        <f t="array" ref="AK13">INDEX($P$3:$P$24,MATCH(AM13&amp;YEAR(AI13),$A$3:$A$24&amp;YEAR($B$3:$B$24),0))</f>
        <v>2269948</v>
      </c>
      <c r="AL13" s="126" t="s">
        <v>1398</v>
      </c>
      <c r="AM13" s="126" t="str">
        <f t="shared" si="2"/>
        <v>Sales Tax (313-10)</v>
      </c>
    </row>
    <row r="14" spans="1:39" x14ac:dyDescent="0.25">
      <c r="A14" s="137" t="s">
        <v>1416</v>
      </c>
      <c r="B14" s="130">
        <v>41275</v>
      </c>
      <c r="C14" s="140">
        <v>0</v>
      </c>
      <c r="D14" s="140">
        <v>0</v>
      </c>
      <c r="E14" s="140">
        <v>0</v>
      </c>
      <c r="F14" s="140">
        <v>0</v>
      </c>
      <c r="G14" s="140">
        <v>0</v>
      </c>
      <c r="H14" s="140"/>
      <c r="I14" s="140"/>
      <c r="J14" s="140"/>
      <c r="K14" s="140"/>
      <c r="L14" s="140"/>
      <c r="M14" s="140"/>
      <c r="N14" s="140"/>
      <c r="O14" s="129">
        <f t="shared" si="3"/>
        <v>0</v>
      </c>
      <c r="P14" s="140">
        <v>2000</v>
      </c>
      <c r="Q14" s="129">
        <f t="shared" si="4"/>
        <v>-2000</v>
      </c>
      <c r="AG14" s="126">
        <v>13</v>
      </c>
      <c r="AH14" s="126" t="s">
        <v>1396</v>
      </c>
      <c r="AI14" s="128">
        <f t="shared" si="0"/>
        <v>41275</v>
      </c>
      <c r="AJ14" s="126">
        <f t="shared" si="1"/>
        <v>266761.83</v>
      </c>
      <c r="AK14" s="126">
        <f t="array" ref="AK14">INDEX($P$3:$P$24,MATCH(AM14&amp;YEAR(AI14),$A$3:$A$24&amp;YEAR($B$3:$B$24),0))</f>
        <v>2386855</v>
      </c>
      <c r="AL14" s="126" t="s">
        <v>1398</v>
      </c>
      <c r="AM14" s="126" t="str">
        <f t="shared" si="2"/>
        <v>Sales Tax (313-10)</v>
      </c>
    </row>
    <row r="15" spans="1:39" x14ac:dyDescent="0.25">
      <c r="A15" s="137" t="s">
        <v>1415</v>
      </c>
      <c r="B15" s="130">
        <v>40909</v>
      </c>
      <c r="C15" s="140">
        <v>0</v>
      </c>
      <c r="D15" s="126">
        <v>4901.91</v>
      </c>
      <c r="E15" s="126">
        <v>5002.08</v>
      </c>
      <c r="F15" s="126">
        <v>4657.3</v>
      </c>
      <c r="G15" s="126">
        <v>4370.76</v>
      </c>
      <c r="H15" s="126">
        <v>3646.47</v>
      </c>
      <c r="I15" s="126">
        <v>3734.41</v>
      </c>
      <c r="J15" s="126">
        <v>3645.49</v>
      </c>
      <c r="K15" s="126">
        <v>3347.7</v>
      </c>
      <c r="L15" s="126">
        <v>3148.14</v>
      </c>
      <c r="M15" s="126">
        <v>2886.8</v>
      </c>
      <c r="N15" s="126">
        <v>4183.1100000000006</v>
      </c>
      <c r="O15" s="129">
        <f t="shared" si="3"/>
        <v>43524.170000000006</v>
      </c>
      <c r="P15" s="140">
        <v>112500</v>
      </c>
      <c r="Q15" s="129">
        <f t="shared" si="4"/>
        <v>-68975.829999999987</v>
      </c>
      <c r="AG15" s="126">
        <v>14</v>
      </c>
      <c r="AH15" s="126" t="s">
        <v>1396</v>
      </c>
      <c r="AI15" s="128">
        <f t="shared" si="0"/>
        <v>41306</v>
      </c>
      <c r="AJ15" s="126">
        <f t="shared" si="1"/>
        <v>171290.7</v>
      </c>
      <c r="AK15" s="126">
        <f t="array" ref="AK15">INDEX($P$3:$P$24,MATCH(AM15&amp;YEAR(AI15),$A$3:$A$24&amp;YEAR($B$3:$B$24),0))</f>
        <v>2386855</v>
      </c>
      <c r="AL15" s="126" t="s">
        <v>1398</v>
      </c>
      <c r="AM15" s="126" t="str">
        <f t="shared" si="2"/>
        <v>Sales Tax (313-10)</v>
      </c>
    </row>
    <row r="16" spans="1:39" x14ac:dyDescent="0.25">
      <c r="A16" s="137" t="s">
        <v>1415</v>
      </c>
      <c r="B16" s="130">
        <v>41275</v>
      </c>
      <c r="C16" s="140">
        <v>0</v>
      </c>
      <c r="D16" s="126">
        <v>1446.79</v>
      </c>
      <c r="E16" s="126">
        <v>1079.8400000000001</v>
      </c>
      <c r="F16" s="126">
        <v>1082.5700000000002</v>
      </c>
      <c r="G16" s="126">
        <v>1062.55</v>
      </c>
      <c r="H16" s="140"/>
      <c r="I16" s="140"/>
      <c r="J16" s="140"/>
      <c r="K16" s="140"/>
      <c r="L16" s="140"/>
      <c r="M16" s="140"/>
      <c r="N16" s="141"/>
      <c r="O16" s="129">
        <f t="shared" si="3"/>
        <v>4671.75</v>
      </c>
      <c r="P16" s="140">
        <v>116800</v>
      </c>
      <c r="Q16" s="129">
        <f t="shared" si="4"/>
        <v>-112128.25</v>
      </c>
      <c r="AG16" s="126">
        <v>15</v>
      </c>
      <c r="AH16" s="126" t="s">
        <v>1396</v>
      </c>
      <c r="AI16" s="128">
        <f t="shared" si="0"/>
        <v>41334</v>
      </c>
      <c r="AJ16" s="126">
        <f t="shared" si="1"/>
        <v>174095.89</v>
      </c>
      <c r="AK16" s="126">
        <f t="array" ref="AK16">INDEX($P$3:$P$24,MATCH(AM16&amp;YEAR(AI16),$A$3:$A$24&amp;YEAR($B$3:$B$24),0))</f>
        <v>2386855</v>
      </c>
      <c r="AL16" s="126" t="s">
        <v>1398</v>
      </c>
      <c r="AM16" s="126" t="str">
        <f t="shared" si="2"/>
        <v>Sales Tax (313-10)</v>
      </c>
    </row>
    <row r="17" spans="1:39" x14ac:dyDescent="0.25">
      <c r="A17" s="137" t="s">
        <v>1414</v>
      </c>
      <c r="B17" s="130">
        <v>40909</v>
      </c>
      <c r="C17" s="140">
        <v>0</v>
      </c>
      <c r="D17" s="140">
        <v>0</v>
      </c>
      <c r="E17" s="140">
        <v>0</v>
      </c>
      <c r="F17" s="140">
        <v>0</v>
      </c>
      <c r="G17" s="140">
        <v>0</v>
      </c>
      <c r="H17" s="140">
        <v>0</v>
      </c>
      <c r="I17" s="140">
        <v>0</v>
      </c>
      <c r="J17" s="140">
        <v>0</v>
      </c>
      <c r="K17" s="140">
        <v>0</v>
      </c>
      <c r="L17" s="140">
        <v>0</v>
      </c>
      <c r="M17" s="140">
        <v>3756.4</v>
      </c>
      <c r="N17" s="141">
        <v>6274.4</v>
      </c>
      <c r="O17" s="129">
        <f t="shared" si="3"/>
        <v>10030.799999999999</v>
      </c>
      <c r="P17" s="140">
        <v>0</v>
      </c>
      <c r="Q17" s="129">
        <f t="shared" si="4"/>
        <v>10030.799999999999</v>
      </c>
      <c r="AG17" s="126">
        <v>16</v>
      </c>
      <c r="AH17" s="126" t="s">
        <v>1396</v>
      </c>
      <c r="AI17" s="128">
        <f t="shared" si="0"/>
        <v>41365</v>
      </c>
      <c r="AJ17" s="126">
        <f t="shared" si="1"/>
        <v>219527.08</v>
      </c>
      <c r="AK17" s="126">
        <f t="array" ref="AK17">INDEX($P$3:$P$24,MATCH(AM17&amp;YEAR(AI17),$A$3:$A$24&amp;YEAR($B$3:$B$24),0))</f>
        <v>2386855</v>
      </c>
      <c r="AL17" s="126" t="s">
        <v>1398</v>
      </c>
      <c r="AM17" s="126" t="str">
        <f t="shared" si="2"/>
        <v>Sales Tax (313-10)</v>
      </c>
    </row>
    <row r="18" spans="1:39" x14ac:dyDescent="0.25">
      <c r="A18" s="137" t="s">
        <v>1414</v>
      </c>
      <c r="B18" s="130">
        <v>41275</v>
      </c>
      <c r="C18" s="140"/>
      <c r="D18" s="140"/>
      <c r="E18" s="140">
        <v>165.78</v>
      </c>
      <c r="F18" s="140">
        <v>174.95</v>
      </c>
      <c r="G18" s="140">
        <v>161.86000000000001</v>
      </c>
      <c r="H18" s="140"/>
      <c r="I18" s="140"/>
      <c r="J18" s="140"/>
      <c r="K18" s="140"/>
      <c r="L18" s="140"/>
      <c r="M18" s="140"/>
      <c r="N18" s="140"/>
      <c r="O18" s="129">
        <f t="shared" si="3"/>
        <v>502.59000000000003</v>
      </c>
      <c r="P18" s="140"/>
      <c r="Q18" s="129">
        <f t="shared" si="4"/>
        <v>502.59000000000003</v>
      </c>
      <c r="AG18" s="126">
        <v>17</v>
      </c>
      <c r="AH18" s="126" t="s">
        <v>1396</v>
      </c>
      <c r="AI18" s="128">
        <f t="shared" si="0"/>
        <v>41395</v>
      </c>
      <c r="AJ18" s="126">
        <f t="shared" si="1"/>
        <v>192993.08</v>
      </c>
      <c r="AK18" s="126">
        <f t="array" ref="AK18">INDEX($P$3:$P$24,MATCH(AM18&amp;YEAR(AI18),$A$3:$A$24&amp;YEAR($B$3:$B$24),0))</f>
        <v>2386855</v>
      </c>
      <c r="AL18" s="126" t="s">
        <v>1398</v>
      </c>
      <c r="AM18" s="126" t="str">
        <f t="shared" si="2"/>
        <v>Sales Tax (313-10)</v>
      </c>
    </row>
    <row r="19" spans="1:39" x14ac:dyDescent="0.25">
      <c r="A19" s="137" t="s">
        <v>1413</v>
      </c>
      <c r="B19" s="130">
        <v>40909</v>
      </c>
      <c r="C19" s="140">
        <v>0</v>
      </c>
      <c r="D19" s="140">
        <v>0</v>
      </c>
      <c r="E19" s="140">
        <v>0</v>
      </c>
      <c r="F19" s="140">
        <v>0</v>
      </c>
      <c r="G19" s="140">
        <v>0</v>
      </c>
      <c r="H19" s="140">
        <v>0</v>
      </c>
      <c r="I19" s="140">
        <v>0</v>
      </c>
      <c r="J19" s="140">
        <v>0</v>
      </c>
      <c r="K19" s="140">
        <v>0</v>
      </c>
      <c r="L19" s="140">
        <v>0</v>
      </c>
      <c r="M19" s="140">
        <v>0</v>
      </c>
      <c r="N19" s="140">
        <v>-23690.68</v>
      </c>
      <c r="O19" s="129">
        <f t="shared" si="3"/>
        <v>-23690.68</v>
      </c>
      <c r="P19" s="140">
        <v>0</v>
      </c>
      <c r="Q19" s="129">
        <f t="shared" si="4"/>
        <v>-23690.68</v>
      </c>
      <c r="AG19" s="126">
        <v>18</v>
      </c>
      <c r="AH19" s="126" t="s">
        <v>1396</v>
      </c>
      <c r="AI19" s="128">
        <f t="shared" si="0"/>
        <v>41426</v>
      </c>
      <c r="AJ19" s="126">
        <f t="shared" si="1"/>
        <v>0</v>
      </c>
      <c r="AK19" s="126">
        <f t="array" ref="AK19">INDEX($P$3:$P$24,MATCH(AM19&amp;YEAR(AI19),$A$3:$A$24&amp;YEAR($B$3:$B$24),0))</f>
        <v>2386855</v>
      </c>
      <c r="AL19" s="126" t="s">
        <v>1398</v>
      </c>
      <c r="AM19" s="126" t="str">
        <f t="shared" si="2"/>
        <v>Sales Tax (313-10)</v>
      </c>
    </row>
    <row r="20" spans="1:39" x14ac:dyDescent="0.25">
      <c r="A20" s="137" t="s">
        <v>1413</v>
      </c>
      <c r="B20" s="130">
        <v>41275</v>
      </c>
      <c r="C20" s="140"/>
      <c r="D20" s="140"/>
      <c r="E20" s="140">
        <v>0</v>
      </c>
      <c r="F20" s="140">
        <v>0</v>
      </c>
      <c r="G20" s="140">
        <v>0</v>
      </c>
      <c r="H20" s="140"/>
      <c r="I20" s="140"/>
      <c r="J20" s="140"/>
      <c r="K20" s="140"/>
      <c r="L20" s="140"/>
      <c r="M20" s="140"/>
      <c r="N20" s="140"/>
      <c r="O20" s="129">
        <f t="shared" si="3"/>
        <v>0</v>
      </c>
      <c r="P20" s="140"/>
      <c r="Q20" s="129">
        <f t="shared" si="4"/>
        <v>0</v>
      </c>
      <c r="AG20" s="126">
        <v>19</v>
      </c>
      <c r="AH20" s="126" t="s">
        <v>1396</v>
      </c>
      <c r="AI20" s="128">
        <f t="shared" si="0"/>
        <v>41456</v>
      </c>
      <c r="AJ20" s="126">
        <f t="shared" si="1"/>
        <v>0</v>
      </c>
      <c r="AK20" s="126">
        <f t="array" ref="AK20">INDEX($P$3:$P$24,MATCH(AM20&amp;YEAR(AI20),$A$3:$A$24&amp;YEAR($B$3:$B$24),0))</f>
        <v>2386855</v>
      </c>
      <c r="AL20" s="126" t="s">
        <v>1398</v>
      </c>
      <c r="AM20" s="126" t="str">
        <f t="shared" si="2"/>
        <v>Sales Tax (313-10)</v>
      </c>
    </row>
    <row r="21" spans="1:39" x14ac:dyDescent="0.25">
      <c r="A21" s="137" t="s">
        <v>1412</v>
      </c>
      <c r="B21" s="130">
        <v>40909</v>
      </c>
      <c r="C21" s="140">
        <v>0</v>
      </c>
      <c r="D21" s="140">
        <v>0</v>
      </c>
      <c r="E21" s="140">
        <v>12500</v>
      </c>
      <c r="F21" s="140">
        <v>0</v>
      </c>
      <c r="G21" s="140">
        <v>865.11</v>
      </c>
      <c r="H21" s="140">
        <v>338</v>
      </c>
      <c r="I21" s="140">
        <v>114</v>
      </c>
      <c r="J21" s="140">
        <v>6413.5</v>
      </c>
      <c r="K21" s="140">
        <v>-347.93</v>
      </c>
      <c r="L21" s="140">
        <v>16188.72</v>
      </c>
      <c r="M21" s="140">
        <v>23816.28</v>
      </c>
      <c r="N21" s="140">
        <v>14494.4</v>
      </c>
      <c r="O21" s="129">
        <f t="shared" si="3"/>
        <v>74382.080000000002</v>
      </c>
      <c r="P21" s="140">
        <v>30000</v>
      </c>
      <c r="Q21" s="129">
        <f t="shared" si="4"/>
        <v>44382.080000000002</v>
      </c>
      <c r="AG21" s="126">
        <v>20</v>
      </c>
      <c r="AH21" s="126" t="s">
        <v>1396</v>
      </c>
      <c r="AI21" s="128">
        <f t="shared" si="0"/>
        <v>41487</v>
      </c>
      <c r="AJ21" s="126">
        <f t="shared" si="1"/>
        <v>0</v>
      </c>
      <c r="AK21" s="126">
        <f t="array" ref="AK21">INDEX($P$3:$P$24,MATCH(AM21&amp;YEAR(AI21),$A$3:$A$24&amp;YEAR($B$3:$B$24),0))</f>
        <v>2386855</v>
      </c>
      <c r="AL21" s="126" t="s">
        <v>1398</v>
      </c>
      <c r="AM21" s="126" t="str">
        <f t="shared" si="2"/>
        <v>Sales Tax (313-10)</v>
      </c>
    </row>
    <row r="22" spans="1:39" x14ac:dyDescent="0.25">
      <c r="A22" s="137" t="s">
        <v>1412</v>
      </c>
      <c r="B22" s="130">
        <v>41275</v>
      </c>
      <c r="C22" s="140">
        <v>-137.19999999999999</v>
      </c>
      <c r="D22" s="140">
        <v>-132.79</v>
      </c>
      <c r="E22" s="140">
        <v>-130.33000000000001</v>
      </c>
      <c r="F22" s="140">
        <v>55896.18</v>
      </c>
      <c r="G22" s="140">
        <v>0</v>
      </c>
      <c r="H22" s="140"/>
      <c r="I22" s="140"/>
      <c r="J22" s="140"/>
      <c r="K22" s="140"/>
      <c r="L22" s="140"/>
      <c r="M22" s="140"/>
      <c r="N22" s="140"/>
      <c r="O22" s="129">
        <f t="shared" si="3"/>
        <v>55495.86</v>
      </c>
      <c r="P22" s="140">
        <v>35000</v>
      </c>
      <c r="Q22" s="129">
        <f t="shared" si="4"/>
        <v>20495.86</v>
      </c>
      <c r="AG22" s="126">
        <v>21</v>
      </c>
      <c r="AH22" s="126" t="s">
        <v>1396</v>
      </c>
      <c r="AI22" s="128">
        <f t="shared" si="0"/>
        <v>41518</v>
      </c>
      <c r="AJ22" s="126">
        <f t="shared" si="1"/>
        <v>0</v>
      </c>
      <c r="AK22" s="126">
        <f t="array" ref="AK22">INDEX($P$3:$P$24,MATCH(AM22&amp;YEAR(AI22),$A$3:$A$24&amp;YEAR($B$3:$B$24),0))</f>
        <v>2386855</v>
      </c>
      <c r="AL22" s="126" t="s">
        <v>1398</v>
      </c>
      <c r="AM22" s="126" t="str">
        <f t="shared" si="2"/>
        <v>Sales Tax (313-10)</v>
      </c>
    </row>
    <row r="23" spans="1:39" x14ac:dyDescent="0.25">
      <c r="A23" s="137" t="s">
        <v>1411</v>
      </c>
      <c r="B23" s="130">
        <v>40909</v>
      </c>
      <c r="C23" s="140">
        <v>0</v>
      </c>
      <c r="D23" s="140">
        <v>0</v>
      </c>
      <c r="E23" s="140">
        <v>0</v>
      </c>
      <c r="F23" s="140">
        <v>0</v>
      </c>
      <c r="G23" s="140">
        <v>0</v>
      </c>
      <c r="H23" s="140">
        <v>0</v>
      </c>
      <c r="I23" s="140">
        <v>0</v>
      </c>
      <c r="J23" s="140">
        <v>0</v>
      </c>
      <c r="K23" s="140">
        <v>0</v>
      </c>
      <c r="L23" s="140">
        <v>29947173.149999999</v>
      </c>
      <c r="M23" s="140">
        <v>0</v>
      </c>
      <c r="N23" s="140">
        <v>0</v>
      </c>
      <c r="O23" s="129">
        <f t="shared" si="3"/>
        <v>29947173.149999999</v>
      </c>
      <c r="P23" s="140">
        <v>21934381</v>
      </c>
      <c r="Q23" s="129">
        <f t="shared" si="4"/>
        <v>8012792.1499999985</v>
      </c>
      <c r="AG23" s="126">
        <v>22</v>
      </c>
      <c r="AH23" s="126" t="s">
        <v>1396</v>
      </c>
      <c r="AI23" s="128">
        <f t="shared" si="0"/>
        <v>41548</v>
      </c>
      <c r="AJ23" s="126">
        <f t="shared" si="1"/>
        <v>0</v>
      </c>
      <c r="AK23" s="126">
        <f t="array" ref="AK23">INDEX($P$3:$P$24,MATCH(AM23&amp;YEAR(AI23),$A$3:$A$24&amp;YEAR($B$3:$B$24),0))</f>
        <v>2386855</v>
      </c>
      <c r="AL23" s="126" t="s">
        <v>1398</v>
      </c>
      <c r="AM23" s="126" t="str">
        <f t="shared" si="2"/>
        <v>Sales Tax (313-10)</v>
      </c>
    </row>
    <row r="24" spans="1:39" x14ac:dyDescent="0.25">
      <c r="A24" s="137" t="s">
        <v>1411</v>
      </c>
      <c r="B24" s="130">
        <v>41275</v>
      </c>
      <c r="C24" s="140">
        <v>0</v>
      </c>
      <c r="D24" s="140">
        <v>0</v>
      </c>
      <c r="E24" s="140">
        <v>0</v>
      </c>
      <c r="F24" s="140">
        <v>0</v>
      </c>
      <c r="G24" s="140">
        <v>0</v>
      </c>
      <c r="H24" s="140"/>
      <c r="I24" s="140"/>
      <c r="J24" s="140"/>
      <c r="K24" s="140"/>
      <c r="L24" s="140"/>
      <c r="M24" s="140"/>
      <c r="N24" s="140"/>
      <c r="O24" s="129">
        <f t="shared" si="3"/>
        <v>0</v>
      </c>
      <c r="P24" s="140">
        <v>0</v>
      </c>
      <c r="Q24" s="129">
        <f t="shared" si="4"/>
        <v>0</v>
      </c>
      <c r="AG24" s="126">
        <v>23</v>
      </c>
      <c r="AH24" s="126" t="s">
        <v>1396</v>
      </c>
      <c r="AI24" s="128">
        <f t="shared" si="0"/>
        <v>41579</v>
      </c>
      <c r="AJ24" s="126">
        <f t="shared" si="1"/>
        <v>0</v>
      </c>
      <c r="AK24" s="126">
        <f t="array" ref="AK24">INDEX($P$3:$P$24,MATCH(AM24&amp;YEAR(AI24),$A$3:$A$24&amp;YEAR($B$3:$B$24),0))</f>
        <v>2386855</v>
      </c>
      <c r="AL24" s="126" t="s">
        <v>1398</v>
      </c>
      <c r="AM24" s="126" t="str">
        <f t="shared" si="2"/>
        <v>Sales Tax (313-10)</v>
      </c>
    </row>
    <row r="25" spans="1:39" x14ac:dyDescent="0.25">
      <c r="A25" s="137" t="s">
        <v>1410</v>
      </c>
      <c r="B25" s="130">
        <v>40909</v>
      </c>
      <c r="C25" s="129">
        <f t="shared" ref="C25:N25" si="5">SUM(C3+C5+C7+C9+C11+C13+C15+C17+C19+C21+C23)</f>
        <v>288335.13</v>
      </c>
      <c r="D25" s="129">
        <f t="shared" si="5"/>
        <v>198403.06999999998</v>
      </c>
      <c r="E25" s="129">
        <f t="shared" si="5"/>
        <v>210855.71</v>
      </c>
      <c r="F25" s="129">
        <f t="shared" si="5"/>
        <v>232566.07999999996</v>
      </c>
      <c r="G25" s="129">
        <f t="shared" si="5"/>
        <v>210061.76</v>
      </c>
      <c r="H25" s="129">
        <f t="shared" si="5"/>
        <v>252594.39</v>
      </c>
      <c r="I25" s="129">
        <f t="shared" si="5"/>
        <v>244054.06</v>
      </c>
      <c r="J25" s="129">
        <f t="shared" si="5"/>
        <v>222753.41999999998</v>
      </c>
      <c r="K25" s="129">
        <f t="shared" si="5"/>
        <v>227387.72000000003</v>
      </c>
      <c r="L25" s="129">
        <f t="shared" si="5"/>
        <v>30204885.18</v>
      </c>
      <c r="M25" s="129">
        <f t="shared" si="5"/>
        <v>243222.06999999998</v>
      </c>
      <c r="N25" s="129">
        <f t="shared" si="5"/>
        <v>246479.16999999998</v>
      </c>
      <c r="O25" s="129">
        <f t="shared" si="3"/>
        <v>32781597.760000002</v>
      </c>
      <c r="P25" s="129">
        <f>SUM(P3+P5+P7+P9+P11+P13+P15+P17+P19+P21+P23)</f>
        <v>24673697</v>
      </c>
      <c r="Q25" s="129">
        <f t="shared" si="4"/>
        <v>8107900.7600000016</v>
      </c>
      <c r="Y25" s="138"/>
      <c r="Z25" s="138"/>
      <c r="AA25" s="138"/>
      <c r="AB25" s="138"/>
      <c r="AC25" s="138"/>
      <c r="AD25" s="138"/>
      <c r="AE25" s="138"/>
      <c r="AG25" s="126">
        <v>24</v>
      </c>
      <c r="AH25" s="126" t="s">
        <v>1396</v>
      </c>
      <c r="AI25" s="128">
        <f t="shared" si="0"/>
        <v>41609</v>
      </c>
      <c r="AJ25" s="126">
        <f t="shared" si="1"/>
        <v>0</v>
      </c>
      <c r="AK25" s="126">
        <f t="array" ref="AK25">INDEX($P$3:$P$24,MATCH(AM25&amp;YEAR(AI25),$A$3:$A$24&amp;YEAR($B$3:$B$24),0))</f>
        <v>2386855</v>
      </c>
      <c r="AL25" s="126" t="s">
        <v>1398</v>
      </c>
      <c r="AM25" s="126" t="str">
        <f t="shared" si="2"/>
        <v>Sales Tax (313-10)</v>
      </c>
    </row>
    <row r="26" spans="1:39" x14ac:dyDescent="0.25">
      <c r="A26" s="137" t="s">
        <v>1410</v>
      </c>
      <c r="B26" s="130">
        <v>41275</v>
      </c>
      <c r="C26" s="129">
        <f t="shared" ref="C26:N26" si="6">SUM(C4+C6+C8+C10+C12+C14+C16+C18+C20+C22+C24)</f>
        <v>308898.15999999997</v>
      </c>
      <c r="D26" s="129">
        <f t="shared" si="6"/>
        <v>204450.29</v>
      </c>
      <c r="E26" s="129">
        <f t="shared" si="6"/>
        <v>201982.95</v>
      </c>
      <c r="F26" s="129">
        <f t="shared" si="6"/>
        <v>329556.47999999998</v>
      </c>
      <c r="G26" s="129">
        <f t="shared" si="6"/>
        <v>228395.42999999996</v>
      </c>
      <c r="H26" s="129">
        <f t="shared" si="6"/>
        <v>0</v>
      </c>
      <c r="I26" s="129">
        <f t="shared" si="6"/>
        <v>0</v>
      </c>
      <c r="J26" s="129">
        <f t="shared" si="6"/>
        <v>0</v>
      </c>
      <c r="K26" s="129">
        <f t="shared" si="6"/>
        <v>0</v>
      </c>
      <c r="L26" s="129">
        <f t="shared" si="6"/>
        <v>0</v>
      </c>
      <c r="M26" s="129">
        <f t="shared" si="6"/>
        <v>0</v>
      </c>
      <c r="N26" s="129">
        <f t="shared" si="6"/>
        <v>0</v>
      </c>
      <c r="O26" s="129">
        <f t="shared" si="3"/>
        <v>1273283.3099999998</v>
      </c>
      <c r="P26" s="129">
        <f>SUM(P4+P6+P8+P10+P12+P14+P16+P18+P20+P22+P24)</f>
        <v>2862678</v>
      </c>
      <c r="Q26" s="129">
        <f t="shared" si="4"/>
        <v>-1589394.6900000002</v>
      </c>
      <c r="Y26" s="138"/>
      <c r="Z26" s="138"/>
      <c r="AA26" s="138"/>
      <c r="AB26" s="138"/>
      <c r="AC26" s="138"/>
      <c r="AD26" s="138"/>
      <c r="AE26" s="138"/>
      <c r="AG26" s="126">
        <v>25</v>
      </c>
      <c r="AH26" s="126" t="s">
        <v>1396</v>
      </c>
      <c r="AI26" s="128">
        <f t="shared" si="0"/>
        <v>40909</v>
      </c>
      <c r="AJ26" s="126">
        <f t="shared" si="1"/>
        <v>33891.089999999997</v>
      </c>
      <c r="AK26" s="126">
        <f t="array" ref="AK26">INDEX($P$3:$P$24,MATCH(AM26&amp;YEAR(AI26),$A$3:$A$24&amp;YEAR($B$3:$B$24),0))</f>
        <v>326868</v>
      </c>
      <c r="AL26" s="126" t="s">
        <v>1398</v>
      </c>
      <c r="AM26" s="126" t="str">
        <f t="shared" si="2"/>
        <v>Use Tax (313-11)</v>
      </c>
    </row>
    <row r="27" spans="1:39" x14ac:dyDescent="0.25">
      <c r="B27" s="136"/>
      <c r="Y27" s="138"/>
      <c r="Z27" s="138"/>
      <c r="AA27" s="138"/>
      <c r="AB27" s="138"/>
      <c r="AC27" s="138"/>
      <c r="AD27" s="138"/>
      <c r="AE27" s="138"/>
      <c r="AG27" s="126">
        <v>26</v>
      </c>
      <c r="AH27" s="126" t="s">
        <v>1396</v>
      </c>
      <c r="AI27" s="128">
        <f t="shared" si="0"/>
        <v>40940</v>
      </c>
      <c r="AJ27" s="126">
        <f t="shared" si="1"/>
        <v>21130.39</v>
      </c>
      <c r="AK27" s="126">
        <f t="array" ref="AK27">INDEX($P$3:$P$24,MATCH(AM27&amp;YEAR(AI27),$A$3:$A$24&amp;YEAR($B$3:$B$24),0))</f>
        <v>326868</v>
      </c>
      <c r="AL27" s="126" t="s">
        <v>1398</v>
      </c>
      <c r="AM27" s="126" t="str">
        <f t="shared" si="2"/>
        <v>Use Tax (313-11)</v>
      </c>
    </row>
    <row r="28" spans="1:39" x14ac:dyDescent="0.25">
      <c r="B28" s="136"/>
      <c r="Y28" s="138"/>
      <c r="Z28" s="138"/>
      <c r="AA28" s="138"/>
      <c r="AB28" s="138"/>
      <c r="AC28" s="138"/>
      <c r="AD28" s="138"/>
      <c r="AE28" s="138"/>
      <c r="AG28" s="126">
        <v>27</v>
      </c>
      <c r="AH28" s="126" t="s">
        <v>1396</v>
      </c>
      <c r="AI28" s="128">
        <f t="shared" si="0"/>
        <v>40969</v>
      </c>
      <c r="AJ28" s="126">
        <f t="shared" si="1"/>
        <v>27015.23</v>
      </c>
      <c r="AK28" s="126">
        <f t="array" ref="AK28">INDEX($P$3:$P$24,MATCH(AM28&amp;YEAR(AI28),$A$3:$A$24&amp;YEAR($B$3:$B$24),0))</f>
        <v>326868</v>
      </c>
      <c r="AL28" s="126" t="s">
        <v>1398</v>
      </c>
      <c r="AM28" s="126" t="str">
        <f t="shared" si="2"/>
        <v>Use Tax (313-11)</v>
      </c>
    </row>
    <row r="29" spans="1:39" x14ac:dyDescent="0.25">
      <c r="A29" s="139" t="s">
        <v>1409</v>
      </c>
      <c r="B29" s="134"/>
      <c r="C29" s="134"/>
      <c r="D29" s="134"/>
      <c r="E29" s="134"/>
      <c r="F29" s="134"/>
      <c r="G29" s="134"/>
      <c r="H29" s="134"/>
      <c r="I29" s="134"/>
      <c r="J29" s="134"/>
      <c r="K29" s="134"/>
      <c r="L29" s="134"/>
      <c r="M29" s="134"/>
      <c r="N29" s="134"/>
      <c r="O29" s="134"/>
      <c r="P29" s="134"/>
      <c r="Q29" s="134"/>
      <c r="Y29" s="138"/>
      <c r="Z29" s="138"/>
      <c r="AA29" s="138"/>
      <c r="AB29" s="138"/>
      <c r="AC29" s="138"/>
      <c r="AD29" s="138"/>
      <c r="AE29" s="138"/>
      <c r="AG29" s="126">
        <v>28</v>
      </c>
      <c r="AH29" s="126" t="s">
        <v>1396</v>
      </c>
      <c r="AI29" s="128">
        <f t="shared" si="0"/>
        <v>41000</v>
      </c>
      <c r="AJ29" s="126">
        <f t="shared" si="1"/>
        <v>29858.67</v>
      </c>
      <c r="AK29" s="126">
        <f t="array" ref="AK29">INDEX($P$3:$P$24,MATCH(AM29&amp;YEAR(AI29),$A$3:$A$24&amp;YEAR($B$3:$B$24),0))</f>
        <v>326868</v>
      </c>
      <c r="AL29" s="126" t="s">
        <v>1398</v>
      </c>
      <c r="AM29" s="126" t="str">
        <f t="shared" si="2"/>
        <v>Use Tax (313-11)</v>
      </c>
    </row>
    <row r="30" spans="1:39" x14ac:dyDescent="0.25">
      <c r="A30" s="134"/>
      <c r="B30" s="133" t="s">
        <v>1405</v>
      </c>
      <c r="C30" s="133" t="s">
        <v>248</v>
      </c>
      <c r="D30" s="133" t="s">
        <v>253</v>
      </c>
      <c r="E30" s="133" t="s">
        <v>258</v>
      </c>
      <c r="F30" s="133" t="s">
        <v>263</v>
      </c>
      <c r="G30" s="133" t="s">
        <v>268</v>
      </c>
      <c r="H30" s="133" t="s">
        <v>273</v>
      </c>
      <c r="I30" s="133" t="s">
        <v>249</v>
      </c>
      <c r="J30" s="133" t="s">
        <v>254</v>
      </c>
      <c r="K30" s="133" t="s">
        <v>259</v>
      </c>
      <c r="L30" s="133" t="s">
        <v>264</v>
      </c>
      <c r="M30" s="133" t="s">
        <v>269</v>
      </c>
      <c r="N30" s="133" t="s">
        <v>274</v>
      </c>
      <c r="O30" s="133" t="s">
        <v>1404</v>
      </c>
      <c r="P30" s="133" t="s">
        <v>1403</v>
      </c>
      <c r="Q30" s="133" t="s">
        <v>1402</v>
      </c>
      <c r="R30" s="132"/>
      <c r="S30" s="132"/>
      <c r="T30" s="132"/>
      <c r="U30" s="132"/>
      <c r="V30" s="132"/>
      <c r="W30" s="132"/>
      <c r="X30" s="132"/>
      <c r="Y30" s="138"/>
      <c r="Z30" s="138"/>
      <c r="AA30" s="138"/>
      <c r="AB30" s="138"/>
      <c r="AC30" s="138"/>
      <c r="AD30" s="138"/>
      <c r="AE30" s="138"/>
      <c r="AG30" s="126">
        <v>29</v>
      </c>
      <c r="AH30" s="126" t="s">
        <v>1396</v>
      </c>
      <c r="AI30" s="128">
        <f t="shared" si="0"/>
        <v>41030</v>
      </c>
      <c r="AJ30" s="126">
        <f t="shared" si="1"/>
        <v>29429.32</v>
      </c>
      <c r="AK30" s="126">
        <f t="array" ref="AK30">INDEX($P$3:$P$24,MATCH(AM30&amp;YEAR(AI30),$A$3:$A$24&amp;YEAR($B$3:$B$24),0))</f>
        <v>326868</v>
      </c>
      <c r="AL30" s="126" t="s">
        <v>1398</v>
      </c>
      <c r="AM30" s="126" t="str">
        <f t="shared" si="2"/>
        <v>Use Tax (313-11)</v>
      </c>
    </row>
    <row r="31" spans="1:39" x14ac:dyDescent="0.25">
      <c r="A31" s="137" t="s">
        <v>1408</v>
      </c>
      <c r="B31" s="130">
        <v>41275</v>
      </c>
      <c r="C31" s="126">
        <v>0</v>
      </c>
      <c r="D31" s="126">
        <v>0</v>
      </c>
      <c r="E31" s="126">
        <v>0</v>
      </c>
      <c r="F31" s="126">
        <v>0</v>
      </c>
      <c r="G31" s="126">
        <v>114241.33</v>
      </c>
      <c r="O31" s="129">
        <f>SUM(C31:N31)</f>
        <v>114241.33</v>
      </c>
      <c r="P31" s="126">
        <v>237429</v>
      </c>
      <c r="Q31" s="129">
        <f t="shared" ref="Q31:Q37" si="7">O31-P31</f>
        <v>-123187.67</v>
      </c>
      <c r="Y31" s="138"/>
      <c r="Z31" s="138"/>
      <c r="AA31" s="138"/>
      <c r="AB31" s="138"/>
      <c r="AC31" s="138"/>
      <c r="AD31" s="138"/>
      <c r="AE31" s="138"/>
      <c r="AG31" s="126">
        <v>30</v>
      </c>
      <c r="AH31" s="126" t="s">
        <v>1396</v>
      </c>
      <c r="AI31" s="128">
        <f t="shared" si="0"/>
        <v>41061</v>
      </c>
      <c r="AJ31" s="126">
        <f t="shared" si="1"/>
        <v>55879.22</v>
      </c>
      <c r="AK31" s="126">
        <f t="array" ref="AK31">INDEX($P$3:$P$24,MATCH(AM31&amp;YEAR(AI31),$A$3:$A$24&amp;YEAR($B$3:$B$24),0))</f>
        <v>326868</v>
      </c>
      <c r="AL31" s="126" t="s">
        <v>1398</v>
      </c>
      <c r="AM31" s="126" t="str">
        <f t="shared" si="2"/>
        <v>Use Tax (313-11)</v>
      </c>
    </row>
    <row r="32" spans="1:39" x14ac:dyDescent="0.25">
      <c r="A32" s="137" t="s">
        <v>1401</v>
      </c>
      <c r="B32" s="130">
        <v>40909</v>
      </c>
      <c r="C32" s="126">
        <v>0</v>
      </c>
      <c r="D32" s="126">
        <v>739.75</v>
      </c>
      <c r="E32" s="126">
        <v>1052.76</v>
      </c>
      <c r="F32" s="126">
        <v>1269.5899999999999</v>
      </c>
      <c r="G32" s="126">
        <v>1558.22</v>
      </c>
      <c r="H32" s="126">
        <v>1549.29</v>
      </c>
      <c r="I32" s="126">
        <v>1322.24</v>
      </c>
      <c r="J32" s="126">
        <v>1573.63</v>
      </c>
      <c r="K32" s="126">
        <v>1703.17</v>
      </c>
      <c r="L32" s="126">
        <v>1880.54</v>
      </c>
      <c r="M32" s="126">
        <v>2680.05</v>
      </c>
      <c r="N32" s="127">
        <v>-4211.5599999999995</v>
      </c>
      <c r="O32" s="129">
        <f>SUM(C32:N32)</f>
        <v>11117.679999999998</v>
      </c>
      <c r="P32" s="126">
        <v>0</v>
      </c>
      <c r="Q32" s="129">
        <f t="shared" si="7"/>
        <v>11117.679999999998</v>
      </c>
      <c r="AG32" s="126">
        <v>31</v>
      </c>
      <c r="AH32" s="126" t="s">
        <v>1396</v>
      </c>
      <c r="AI32" s="128">
        <f t="shared" si="0"/>
        <v>41091</v>
      </c>
      <c r="AJ32" s="126">
        <f t="shared" si="1"/>
        <v>29662.74</v>
      </c>
      <c r="AK32" s="126">
        <f t="array" ref="AK32">INDEX($P$3:$P$24,MATCH(AM32&amp;YEAR(AI32),$A$3:$A$24&amp;YEAR($B$3:$B$24),0))</f>
        <v>326868</v>
      </c>
      <c r="AL32" s="126" t="s">
        <v>1398</v>
      </c>
      <c r="AM32" s="126" t="str">
        <f t="shared" si="2"/>
        <v>Use Tax (313-11)</v>
      </c>
    </row>
    <row r="33" spans="1:39" x14ac:dyDescent="0.25">
      <c r="A33" s="137" t="s">
        <v>1401</v>
      </c>
      <c r="B33" s="130">
        <v>41275</v>
      </c>
      <c r="C33" s="126">
        <v>0</v>
      </c>
      <c r="D33" s="126">
        <v>3886.42</v>
      </c>
      <c r="E33" s="126">
        <v>3481</v>
      </c>
      <c r="F33" s="126">
        <v>3919.18</v>
      </c>
      <c r="G33" s="126">
        <v>3883.8</v>
      </c>
      <c r="O33" s="129">
        <f>SUM(C33:N33)</f>
        <v>15170.400000000001</v>
      </c>
      <c r="P33" s="126">
        <v>0</v>
      </c>
      <c r="Q33" s="129">
        <f t="shared" si="7"/>
        <v>15170.400000000001</v>
      </c>
      <c r="AG33" s="126">
        <v>32</v>
      </c>
      <c r="AH33" s="126" t="s">
        <v>1396</v>
      </c>
      <c r="AI33" s="128">
        <f t="shared" si="0"/>
        <v>41122</v>
      </c>
      <c r="AJ33" s="126">
        <f t="shared" si="1"/>
        <v>25699.18</v>
      </c>
      <c r="AK33" s="126">
        <f t="array" ref="AK33">INDEX($P$3:$P$24,MATCH(AM33&amp;YEAR(AI33),$A$3:$A$24&amp;YEAR($B$3:$B$24),0))</f>
        <v>326868</v>
      </c>
      <c r="AL33" s="126" t="s">
        <v>1398</v>
      </c>
      <c r="AM33" s="126" t="str">
        <f t="shared" si="2"/>
        <v>Use Tax (313-11)</v>
      </c>
    </row>
    <row r="34" spans="1:39" x14ac:dyDescent="0.25">
      <c r="A34" s="137" t="s">
        <v>1400</v>
      </c>
      <c r="B34" s="130">
        <v>40909</v>
      </c>
      <c r="C34" s="126">
        <v>148616.32999999999</v>
      </c>
      <c r="D34" s="126">
        <v>148616.32999999999</v>
      </c>
      <c r="E34" s="126">
        <v>148616.32999999999</v>
      </c>
      <c r="F34" s="126">
        <v>148616.32999999999</v>
      </c>
      <c r="G34" s="126">
        <v>148616.32999999999</v>
      </c>
      <c r="H34" s="126">
        <v>148616.32999999999</v>
      </c>
      <c r="I34" s="126">
        <v>148616.32999999999</v>
      </c>
      <c r="J34" s="126">
        <v>148616.32999999999</v>
      </c>
      <c r="K34" s="126">
        <v>148616.32999999999</v>
      </c>
      <c r="L34" s="126">
        <v>934685.64</v>
      </c>
      <c r="M34" s="126">
        <v>187683.61</v>
      </c>
      <c r="N34" s="126">
        <v>187683.61</v>
      </c>
      <c r="O34" s="129">
        <f>SUM(C34:N34)</f>
        <v>2647599.8299999996</v>
      </c>
      <c r="P34" s="126">
        <v>0</v>
      </c>
      <c r="Q34" s="129">
        <f t="shared" si="7"/>
        <v>2647599.8299999996</v>
      </c>
      <c r="AG34" s="126">
        <v>33</v>
      </c>
      <c r="AH34" s="126" t="s">
        <v>1396</v>
      </c>
      <c r="AI34" s="128">
        <f t="shared" si="0"/>
        <v>41153</v>
      </c>
      <c r="AJ34" s="126">
        <f t="shared" si="1"/>
        <v>31261.79</v>
      </c>
      <c r="AK34" s="126">
        <f t="array" ref="AK34">INDEX($P$3:$P$24,MATCH(AM34&amp;YEAR(AI34),$A$3:$A$24&amp;YEAR($B$3:$B$24),0))</f>
        <v>326868</v>
      </c>
      <c r="AL34" s="126" t="s">
        <v>1398</v>
      </c>
      <c r="AM34" s="126" t="str">
        <f t="shared" si="2"/>
        <v>Use Tax (313-11)</v>
      </c>
    </row>
    <row r="35" spans="1:39" x14ac:dyDescent="0.25">
      <c r="A35" s="137" t="s">
        <v>1400</v>
      </c>
      <c r="B35" s="130">
        <v>41275</v>
      </c>
      <c r="C35" s="126">
        <v>187683.61</v>
      </c>
      <c r="D35" s="126">
        <v>187683.61</v>
      </c>
      <c r="E35" s="126">
        <v>188285.53</v>
      </c>
      <c r="F35" s="126">
        <v>188285.53</v>
      </c>
      <c r="G35" s="126">
        <v>188285.53</v>
      </c>
      <c r="O35" s="129">
        <f>SUM(C35:N35)</f>
        <v>940223.81</v>
      </c>
      <c r="P35" s="126">
        <v>0</v>
      </c>
      <c r="Q35" s="129">
        <f t="shared" si="7"/>
        <v>940223.81</v>
      </c>
      <c r="AG35" s="126">
        <v>34</v>
      </c>
      <c r="AH35" s="126" t="s">
        <v>1396</v>
      </c>
      <c r="AI35" s="128">
        <f t="shared" si="0"/>
        <v>41183</v>
      </c>
      <c r="AJ35" s="126">
        <f t="shared" si="1"/>
        <v>37199.75</v>
      </c>
      <c r="AK35" s="126">
        <f t="array" ref="AK35">INDEX($P$3:$P$24,MATCH(AM35&amp;YEAR(AI35),$A$3:$A$24&amp;YEAR($B$3:$B$24),0))</f>
        <v>326868</v>
      </c>
      <c r="AL35" s="126" t="s">
        <v>1398</v>
      </c>
      <c r="AM35" s="126" t="str">
        <f t="shared" si="2"/>
        <v>Use Tax (313-11)</v>
      </c>
    </row>
    <row r="36" spans="1:39" x14ac:dyDescent="0.25">
      <c r="A36" s="137" t="s">
        <v>1407</v>
      </c>
      <c r="B36" s="130">
        <v>40909</v>
      </c>
      <c r="C36" s="129">
        <f t="shared" ref="C36:P36" si="8">SUM(C32+C34)</f>
        <v>148616.32999999999</v>
      </c>
      <c r="D36" s="129">
        <f t="shared" si="8"/>
        <v>149356.07999999999</v>
      </c>
      <c r="E36" s="129">
        <f t="shared" si="8"/>
        <v>149669.09</v>
      </c>
      <c r="F36" s="129">
        <f t="shared" si="8"/>
        <v>149885.91999999998</v>
      </c>
      <c r="G36" s="129">
        <f t="shared" si="8"/>
        <v>150174.54999999999</v>
      </c>
      <c r="H36" s="129">
        <f t="shared" si="8"/>
        <v>150165.62</v>
      </c>
      <c r="I36" s="129">
        <f t="shared" si="8"/>
        <v>149938.56999999998</v>
      </c>
      <c r="J36" s="129">
        <f t="shared" si="8"/>
        <v>150189.96</v>
      </c>
      <c r="K36" s="129">
        <f t="shared" si="8"/>
        <v>150319.5</v>
      </c>
      <c r="L36" s="129">
        <f t="shared" si="8"/>
        <v>936566.18</v>
      </c>
      <c r="M36" s="129">
        <f t="shared" si="8"/>
        <v>190363.65999999997</v>
      </c>
      <c r="N36" s="129">
        <f t="shared" si="8"/>
        <v>183472.05</v>
      </c>
      <c r="O36" s="129">
        <f t="shared" si="8"/>
        <v>2658717.5099999998</v>
      </c>
      <c r="P36" s="129">
        <f t="shared" si="8"/>
        <v>0</v>
      </c>
      <c r="Q36" s="129">
        <f t="shared" si="7"/>
        <v>2658717.5099999998</v>
      </c>
      <c r="Y36" s="138"/>
      <c r="Z36" s="138"/>
      <c r="AA36" s="138"/>
      <c r="AB36" s="138"/>
      <c r="AC36" s="138"/>
      <c r="AD36" s="138"/>
      <c r="AE36" s="138"/>
      <c r="AG36" s="126">
        <v>35</v>
      </c>
      <c r="AH36" s="126" t="s">
        <v>1396</v>
      </c>
      <c r="AI36" s="128">
        <f t="shared" si="0"/>
        <v>41214</v>
      </c>
      <c r="AJ36" s="126">
        <f t="shared" si="1"/>
        <v>28862.53</v>
      </c>
      <c r="AK36" s="126">
        <f t="array" ref="AK36">INDEX($P$3:$P$24,MATCH(AM36&amp;YEAR(AI36),$A$3:$A$24&amp;YEAR($B$3:$B$24),0))</f>
        <v>326868</v>
      </c>
      <c r="AL36" s="126" t="s">
        <v>1398</v>
      </c>
      <c r="AM36" s="126" t="str">
        <f t="shared" si="2"/>
        <v>Use Tax (313-11)</v>
      </c>
    </row>
    <row r="37" spans="1:39" x14ac:dyDescent="0.25">
      <c r="A37" s="137" t="s">
        <v>1407</v>
      </c>
      <c r="B37" s="130">
        <v>41275</v>
      </c>
      <c r="C37" s="129">
        <f t="shared" ref="C37:N37" si="9">SUM(C31+C33+C35)</f>
        <v>187683.61</v>
      </c>
      <c r="D37" s="129">
        <f t="shared" si="9"/>
        <v>191570.03</v>
      </c>
      <c r="E37" s="129">
        <f t="shared" si="9"/>
        <v>191766.53</v>
      </c>
      <c r="F37" s="129">
        <f t="shared" si="9"/>
        <v>192204.71</v>
      </c>
      <c r="G37" s="129">
        <f t="shared" si="9"/>
        <v>306410.66000000003</v>
      </c>
      <c r="H37" s="129">
        <f t="shared" si="9"/>
        <v>0</v>
      </c>
      <c r="I37" s="129">
        <f t="shared" si="9"/>
        <v>0</v>
      </c>
      <c r="J37" s="129">
        <f t="shared" si="9"/>
        <v>0</v>
      </c>
      <c r="K37" s="129">
        <f t="shared" si="9"/>
        <v>0</v>
      </c>
      <c r="L37" s="129">
        <f t="shared" si="9"/>
        <v>0</v>
      </c>
      <c r="M37" s="129">
        <f t="shared" si="9"/>
        <v>0</v>
      </c>
      <c r="N37" s="129">
        <f t="shared" si="9"/>
        <v>0</v>
      </c>
      <c r="O37" s="129">
        <f>SUM(C37:N37)</f>
        <v>1069635.54</v>
      </c>
      <c r="P37" s="129">
        <f>SUM(P31+P33+P35)</f>
        <v>237429</v>
      </c>
      <c r="Q37" s="129">
        <f t="shared" si="7"/>
        <v>832206.54</v>
      </c>
      <c r="AG37" s="126">
        <v>36</v>
      </c>
      <c r="AH37" s="126" t="s">
        <v>1396</v>
      </c>
      <c r="AI37" s="128">
        <f t="shared" si="0"/>
        <v>41244</v>
      </c>
      <c r="AJ37" s="126">
        <f t="shared" si="1"/>
        <v>30683.279999999999</v>
      </c>
      <c r="AK37" s="126">
        <f t="array" ref="AK37">INDEX($P$3:$P$24,MATCH(AM37&amp;YEAR(AI37),$A$3:$A$24&amp;YEAR($B$3:$B$24),0))</f>
        <v>326868</v>
      </c>
      <c r="AL37" s="126" t="s">
        <v>1398</v>
      </c>
      <c r="AM37" s="126" t="str">
        <f t="shared" si="2"/>
        <v>Use Tax (313-11)</v>
      </c>
    </row>
    <row r="38" spans="1:39" x14ac:dyDescent="0.25">
      <c r="B38" s="136"/>
      <c r="AG38" s="126">
        <v>37</v>
      </c>
      <c r="AH38" s="126" t="s">
        <v>1396</v>
      </c>
      <c r="AI38" s="128">
        <f t="shared" si="0"/>
        <v>41275</v>
      </c>
      <c r="AJ38" s="126">
        <f t="shared" si="1"/>
        <v>42273.53</v>
      </c>
      <c r="AK38" s="126">
        <f t="array" ref="AK38">INDEX($P$3:$P$24,MATCH(AM38&amp;YEAR(AI38),$A$3:$A$24&amp;YEAR($B$3:$B$24),0))</f>
        <v>322023</v>
      </c>
      <c r="AL38" s="126" t="s">
        <v>1398</v>
      </c>
      <c r="AM38" s="126" t="str">
        <f t="shared" si="2"/>
        <v>Use Tax (313-11)</v>
      </c>
    </row>
    <row r="39" spans="1:39" x14ac:dyDescent="0.25">
      <c r="AG39" s="126">
        <v>38</v>
      </c>
      <c r="AH39" s="126" t="s">
        <v>1396</v>
      </c>
      <c r="AI39" s="128">
        <f t="shared" si="0"/>
        <v>41306</v>
      </c>
      <c r="AJ39" s="126">
        <f t="shared" si="1"/>
        <v>31845.59</v>
      </c>
      <c r="AK39" s="126">
        <f t="array" ref="AK39">INDEX($P$3:$P$24,MATCH(AM39&amp;YEAR(AI39),$A$3:$A$24&amp;YEAR($B$3:$B$24),0))</f>
        <v>322023</v>
      </c>
      <c r="AL39" s="126" t="s">
        <v>1398</v>
      </c>
      <c r="AM39" s="126" t="str">
        <f t="shared" si="2"/>
        <v>Use Tax (313-11)</v>
      </c>
    </row>
    <row r="40" spans="1:39" x14ac:dyDescent="0.25">
      <c r="A40" s="135" t="s">
        <v>1406</v>
      </c>
      <c r="B40" s="134"/>
      <c r="C40" s="134"/>
      <c r="D40" s="134"/>
      <c r="E40" s="134"/>
      <c r="F40" s="134"/>
      <c r="G40" s="134"/>
      <c r="H40" s="134"/>
      <c r="I40" s="134"/>
      <c r="J40" s="134"/>
      <c r="K40" s="134"/>
      <c r="L40" s="134"/>
      <c r="M40" s="134"/>
      <c r="N40" s="134"/>
      <c r="O40" s="134"/>
      <c r="P40" s="134"/>
      <c r="Q40" s="134"/>
      <c r="AG40" s="126">
        <v>39</v>
      </c>
      <c r="AH40" s="126" t="s">
        <v>1396</v>
      </c>
      <c r="AI40" s="128">
        <f t="shared" si="0"/>
        <v>41334</v>
      </c>
      <c r="AJ40" s="126">
        <f t="shared" si="1"/>
        <v>26771.77</v>
      </c>
      <c r="AK40" s="126">
        <f t="array" ref="AK40">INDEX($P$3:$P$24,MATCH(AM40&amp;YEAR(AI40),$A$3:$A$24&amp;YEAR($B$3:$B$24),0))</f>
        <v>322023</v>
      </c>
      <c r="AL40" s="126" t="s">
        <v>1398</v>
      </c>
      <c r="AM40" s="126" t="str">
        <f t="shared" si="2"/>
        <v>Use Tax (313-11)</v>
      </c>
    </row>
    <row r="41" spans="1:39" x14ac:dyDescent="0.25">
      <c r="A41" s="134"/>
      <c r="B41" s="133" t="s">
        <v>1405</v>
      </c>
      <c r="C41" s="133" t="s">
        <v>248</v>
      </c>
      <c r="D41" s="133" t="s">
        <v>253</v>
      </c>
      <c r="E41" s="133" t="s">
        <v>258</v>
      </c>
      <c r="F41" s="133" t="s">
        <v>263</v>
      </c>
      <c r="G41" s="133" t="s">
        <v>268</v>
      </c>
      <c r="H41" s="133" t="s">
        <v>273</v>
      </c>
      <c r="I41" s="133" t="s">
        <v>249</v>
      </c>
      <c r="J41" s="133" t="s">
        <v>254</v>
      </c>
      <c r="K41" s="133" t="s">
        <v>259</v>
      </c>
      <c r="L41" s="133" t="s">
        <v>264</v>
      </c>
      <c r="M41" s="133" t="s">
        <v>269</v>
      </c>
      <c r="N41" s="133" t="s">
        <v>274</v>
      </c>
      <c r="O41" s="133" t="s">
        <v>1404</v>
      </c>
      <c r="P41" s="133" t="s">
        <v>1403</v>
      </c>
      <c r="Q41" s="133" t="s">
        <v>1402</v>
      </c>
      <c r="R41" s="132"/>
      <c r="S41" s="132"/>
      <c r="T41" s="132"/>
      <c r="U41" s="132"/>
      <c r="V41" s="132"/>
      <c r="W41" s="132"/>
      <c r="X41" s="132"/>
      <c r="AG41" s="126">
        <v>40</v>
      </c>
      <c r="AH41" s="126" t="s">
        <v>1396</v>
      </c>
      <c r="AI41" s="128">
        <f t="shared" si="0"/>
        <v>41365</v>
      </c>
      <c r="AJ41" s="126">
        <f t="shared" si="1"/>
        <v>52875.7</v>
      </c>
      <c r="AK41" s="126">
        <f t="array" ref="AK41">INDEX($P$3:$P$24,MATCH(AM41&amp;YEAR(AI41),$A$3:$A$24&amp;YEAR($B$3:$B$24),0))</f>
        <v>322023</v>
      </c>
      <c r="AL41" s="126" t="s">
        <v>1398</v>
      </c>
      <c r="AM41" s="126" t="str">
        <f t="shared" si="2"/>
        <v>Use Tax (313-11)</v>
      </c>
    </row>
    <row r="42" spans="1:39" x14ac:dyDescent="0.25">
      <c r="A42" s="131" t="s">
        <v>1401</v>
      </c>
      <c r="B42" s="130">
        <v>40909</v>
      </c>
      <c r="C42" s="126">
        <v>0</v>
      </c>
      <c r="D42" s="126">
        <v>0</v>
      </c>
      <c r="E42" s="126">
        <v>0</v>
      </c>
      <c r="F42" s="126">
        <v>0</v>
      </c>
      <c r="G42" s="126">
        <v>0</v>
      </c>
      <c r="H42" s="126">
        <v>0</v>
      </c>
      <c r="I42" s="126">
        <v>0</v>
      </c>
      <c r="J42" s="126">
        <v>0</v>
      </c>
      <c r="K42" s="126">
        <v>0</v>
      </c>
      <c r="L42" s="126">
        <v>0</v>
      </c>
      <c r="M42" s="126">
        <v>5915.68</v>
      </c>
      <c r="N42" s="127">
        <v>6593.04</v>
      </c>
      <c r="O42" s="129">
        <f t="shared" ref="O42:O47" si="10">SUM(C42:N42)</f>
        <v>12508.720000000001</v>
      </c>
      <c r="P42" s="126">
        <v>0</v>
      </c>
      <c r="Q42" s="129">
        <f t="shared" ref="Q42:Q47" si="11">O42-P42</f>
        <v>12508.720000000001</v>
      </c>
      <c r="AG42" s="126">
        <v>41</v>
      </c>
      <c r="AH42" s="126" t="s">
        <v>1396</v>
      </c>
      <c r="AI42" s="128">
        <f t="shared" si="0"/>
        <v>41395</v>
      </c>
      <c r="AJ42" s="126">
        <f t="shared" si="1"/>
        <v>34177.94</v>
      </c>
      <c r="AK42" s="126">
        <f t="array" ref="AK42">INDEX($P$3:$P$24,MATCH(AM42&amp;YEAR(AI42),$A$3:$A$24&amp;YEAR($B$3:$B$24),0))</f>
        <v>322023</v>
      </c>
      <c r="AL42" s="126" t="s">
        <v>1398</v>
      </c>
      <c r="AM42" s="126" t="str">
        <f t="shared" si="2"/>
        <v>Use Tax (313-11)</v>
      </c>
    </row>
    <row r="43" spans="1:39" x14ac:dyDescent="0.25">
      <c r="A43" s="131" t="s">
        <v>1401</v>
      </c>
      <c r="B43" s="130">
        <v>41275</v>
      </c>
      <c r="C43" s="126">
        <v>1042.33</v>
      </c>
      <c r="D43" s="126">
        <v>874.1</v>
      </c>
      <c r="E43" s="126">
        <v>871.01</v>
      </c>
      <c r="F43" s="126">
        <v>788.14</v>
      </c>
      <c r="G43" s="126">
        <v>754.98</v>
      </c>
      <c r="O43" s="129">
        <f t="shared" si="10"/>
        <v>4330.5599999999995</v>
      </c>
      <c r="P43" s="126">
        <v>0</v>
      </c>
      <c r="Q43" s="129">
        <f t="shared" si="11"/>
        <v>4330.5599999999995</v>
      </c>
      <c r="AG43" s="126">
        <v>42</v>
      </c>
      <c r="AH43" s="126" t="s">
        <v>1396</v>
      </c>
      <c r="AI43" s="128">
        <f t="shared" si="0"/>
        <v>41426</v>
      </c>
      <c r="AJ43" s="126">
        <f t="shared" si="1"/>
        <v>0</v>
      </c>
      <c r="AK43" s="126">
        <f t="array" ref="AK43">INDEX($P$3:$P$24,MATCH(AM43&amp;YEAR(AI43),$A$3:$A$24&amp;YEAR($B$3:$B$24),0))</f>
        <v>322023</v>
      </c>
      <c r="AL43" s="126" t="s">
        <v>1398</v>
      </c>
      <c r="AM43" s="126" t="str">
        <f t="shared" si="2"/>
        <v>Use Tax (313-11)</v>
      </c>
    </row>
    <row r="44" spans="1:39" x14ac:dyDescent="0.25">
      <c r="A44" s="131" t="s">
        <v>1400</v>
      </c>
      <c r="B44" s="130">
        <v>40909</v>
      </c>
      <c r="C44" s="126">
        <v>0</v>
      </c>
      <c r="D44" s="126">
        <v>0</v>
      </c>
      <c r="E44" s="126">
        <v>0</v>
      </c>
      <c r="F44" s="126">
        <v>0</v>
      </c>
      <c r="G44" s="126">
        <v>0</v>
      </c>
      <c r="H44" s="126">
        <v>0</v>
      </c>
      <c r="I44" s="126">
        <v>0</v>
      </c>
      <c r="J44" s="126">
        <v>0</v>
      </c>
      <c r="K44" s="126">
        <v>0</v>
      </c>
      <c r="L44" s="126">
        <v>7206733.8399999999</v>
      </c>
      <c r="M44" s="126">
        <v>0</v>
      </c>
      <c r="N44" s="126">
        <v>0</v>
      </c>
      <c r="O44" s="129">
        <f t="shared" si="10"/>
        <v>7206733.8399999999</v>
      </c>
      <c r="P44" s="126">
        <v>0</v>
      </c>
      <c r="Q44" s="129">
        <f t="shared" si="11"/>
        <v>7206733.8399999999</v>
      </c>
      <c r="AG44" s="126">
        <v>43</v>
      </c>
      <c r="AH44" s="126" t="s">
        <v>1396</v>
      </c>
      <c r="AI44" s="128">
        <f t="shared" si="0"/>
        <v>41456</v>
      </c>
      <c r="AJ44" s="126">
        <f t="shared" si="1"/>
        <v>0</v>
      </c>
      <c r="AK44" s="126">
        <f t="array" ref="AK44">INDEX($P$3:$P$24,MATCH(AM44&amp;YEAR(AI44),$A$3:$A$24&amp;YEAR($B$3:$B$24),0))</f>
        <v>322023</v>
      </c>
      <c r="AL44" s="126" t="s">
        <v>1398</v>
      </c>
      <c r="AM44" s="126" t="str">
        <f t="shared" si="2"/>
        <v>Use Tax (313-11)</v>
      </c>
    </row>
    <row r="45" spans="1:39" x14ac:dyDescent="0.25">
      <c r="A45" s="131" t="s">
        <v>1400</v>
      </c>
      <c r="B45" s="130">
        <v>41275</v>
      </c>
      <c r="C45" s="126">
        <v>0</v>
      </c>
      <c r="D45" s="126">
        <v>0</v>
      </c>
      <c r="E45" s="126">
        <v>0</v>
      </c>
      <c r="F45" s="126">
        <v>0</v>
      </c>
      <c r="G45" s="126">
        <v>0</v>
      </c>
      <c r="O45" s="129">
        <f t="shared" si="10"/>
        <v>0</v>
      </c>
      <c r="P45" s="126">
        <v>0</v>
      </c>
      <c r="Q45" s="129">
        <f t="shared" si="11"/>
        <v>0</v>
      </c>
      <c r="AG45" s="126">
        <v>44</v>
      </c>
      <c r="AH45" s="126" t="s">
        <v>1396</v>
      </c>
      <c r="AI45" s="128">
        <f t="shared" si="0"/>
        <v>41487</v>
      </c>
      <c r="AJ45" s="126">
        <f t="shared" si="1"/>
        <v>0</v>
      </c>
      <c r="AK45" s="126">
        <f t="array" ref="AK45">INDEX($P$3:$P$24,MATCH(AM45&amp;YEAR(AI45),$A$3:$A$24&amp;YEAR($B$3:$B$24),0))</f>
        <v>322023</v>
      </c>
      <c r="AL45" s="126" t="s">
        <v>1398</v>
      </c>
      <c r="AM45" s="126" t="str">
        <f t="shared" si="2"/>
        <v>Use Tax (313-11)</v>
      </c>
    </row>
    <row r="46" spans="1:39" x14ac:dyDescent="0.25">
      <c r="A46" s="131" t="s">
        <v>1399</v>
      </c>
      <c r="B46" s="130">
        <v>40909</v>
      </c>
      <c r="C46" s="129">
        <f t="shared" ref="C46:N46" si="12">SUM(C42+C44)</f>
        <v>0</v>
      </c>
      <c r="D46" s="129">
        <f t="shared" si="12"/>
        <v>0</v>
      </c>
      <c r="E46" s="129">
        <f t="shared" si="12"/>
        <v>0</v>
      </c>
      <c r="F46" s="129">
        <f t="shared" si="12"/>
        <v>0</v>
      </c>
      <c r="G46" s="129">
        <f t="shared" si="12"/>
        <v>0</v>
      </c>
      <c r="H46" s="129">
        <f t="shared" si="12"/>
        <v>0</v>
      </c>
      <c r="I46" s="129">
        <f t="shared" si="12"/>
        <v>0</v>
      </c>
      <c r="J46" s="129">
        <f t="shared" si="12"/>
        <v>0</v>
      </c>
      <c r="K46" s="129">
        <f t="shared" si="12"/>
        <v>0</v>
      </c>
      <c r="L46" s="129">
        <f t="shared" si="12"/>
        <v>7206733.8399999999</v>
      </c>
      <c r="M46" s="129">
        <f t="shared" si="12"/>
        <v>5915.68</v>
      </c>
      <c r="N46" s="129">
        <f t="shared" si="12"/>
        <v>6593.04</v>
      </c>
      <c r="O46" s="129">
        <f t="shared" si="10"/>
        <v>7219242.5599999996</v>
      </c>
      <c r="P46" s="129">
        <f>SUM(P42+P44)</f>
        <v>0</v>
      </c>
      <c r="Q46" s="129">
        <f t="shared" si="11"/>
        <v>7219242.5599999996</v>
      </c>
      <c r="AG46" s="126">
        <v>45</v>
      </c>
      <c r="AH46" s="126" t="s">
        <v>1396</v>
      </c>
      <c r="AI46" s="128">
        <f t="shared" si="0"/>
        <v>41518</v>
      </c>
      <c r="AJ46" s="126">
        <f t="shared" si="1"/>
        <v>0</v>
      </c>
      <c r="AK46" s="126">
        <f t="array" ref="AK46">INDEX($P$3:$P$24,MATCH(AM46&amp;YEAR(AI46),$A$3:$A$24&amp;YEAR($B$3:$B$24),0))</f>
        <v>322023</v>
      </c>
      <c r="AL46" s="126" t="s">
        <v>1398</v>
      </c>
      <c r="AM46" s="126" t="str">
        <f t="shared" si="2"/>
        <v>Use Tax (313-11)</v>
      </c>
    </row>
    <row r="47" spans="1:39" x14ac:dyDescent="0.25">
      <c r="A47" s="131" t="s">
        <v>1399</v>
      </c>
      <c r="B47" s="130">
        <v>41275</v>
      </c>
      <c r="C47" s="129">
        <f t="shared" ref="C47:N47" si="13">SUM(C43+C45)</f>
        <v>1042.33</v>
      </c>
      <c r="D47" s="129">
        <f t="shared" si="13"/>
        <v>874.1</v>
      </c>
      <c r="E47" s="129">
        <f t="shared" si="13"/>
        <v>871.01</v>
      </c>
      <c r="F47" s="129">
        <f t="shared" si="13"/>
        <v>788.14</v>
      </c>
      <c r="G47" s="129">
        <f t="shared" si="13"/>
        <v>754.98</v>
      </c>
      <c r="H47" s="129">
        <f t="shared" si="13"/>
        <v>0</v>
      </c>
      <c r="I47" s="129">
        <f t="shared" si="13"/>
        <v>0</v>
      </c>
      <c r="J47" s="129">
        <f t="shared" si="13"/>
        <v>0</v>
      </c>
      <c r="K47" s="129">
        <f t="shared" si="13"/>
        <v>0</v>
      </c>
      <c r="L47" s="129">
        <f t="shared" si="13"/>
        <v>0</v>
      </c>
      <c r="M47" s="129">
        <f t="shared" si="13"/>
        <v>0</v>
      </c>
      <c r="N47" s="129">
        <f t="shared" si="13"/>
        <v>0</v>
      </c>
      <c r="O47" s="129">
        <f t="shared" si="10"/>
        <v>4330.5599999999995</v>
      </c>
      <c r="P47" s="129">
        <f>SUM(P43+P45)</f>
        <v>0</v>
      </c>
      <c r="Q47" s="129">
        <f t="shared" si="11"/>
        <v>4330.5599999999995</v>
      </c>
      <c r="AG47" s="126">
        <v>46</v>
      </c>
      <c r="AH47" s="126" t="s">
        <v>1396</v>
      </c>
      <c r="AI47" s="128">
        <f t="shared" si="0"/>
        <v>41548</v>
      </c>
      <c r="AJ47" s="126">
        <f t="shared" si="1"/>
        <v>0</v>
      </c>
      <c r="AK47" s="126">
        <f t="array" ref="AK47">INDEX($P$3:$P$24,MATCH(AM47&amp;YEAR(AI47),$A$3:$A$24&amp;YEAR($B$3:$B$24),0))</f>
        <v>322023</v>
      </c>
      <c r="AL47" s="126" t="s">
        <v>1398</v>
      </c>
      <c r="AM47" s="126" t="str">
        <f t="shared" si="2"/>
        <v>Use Tax (313-11)</v>
      </c>
    </row>
    <row r="48" spans="1:39" x14ac:dyDescent="0.25">
      <c r="AG48" s="126">
        <v>47</v>
      </c>
      <c r="AH48" s="126" t="s">
        <v>1396</v>
      </c>
      <c r="AI48" s="128">
        <f t="shared" si="0"/>
        <v>41579</v>
      </c>
      <c r="AJ48" s="126">
        <f t="shared" si="1"/>
        <v>0</v>
      </c>
      <c r="AK48" s="126">
        <f t="array" ref="AK48">INDEX($P$3:$P$24,MATCH(AM48&amp;YEAR(AI48),$A$3:$A$24&amp;YEAR($B$3:$B$24),0))</f>
        <v>322023</v>
      </c>
      <c r="AL48" s="126" t="s">
        <v>1398</v>
      </c>
      <c r="AM48" s="126" t="str">
        <f t="shared" si="2"/>
        <v>Use Tax (313-11)</v>
      </c>
    </row>
    <row r="49" spans="33:39" x14ac:dyDescent="0.25">
      <c r="AG49" s="126">
        <v>48</v>
      </c>
      <c r="AH49" s="126" t="s">
        <v>1396</v>
      </c>
      <c r="AI49" s="128">
        <f t="shared" si="0"/>
        <v>41609</v>
      </c>
      <c r="AJ49" s="126">
        <f t="shared" si="1"/>
        <v>0</v>
      </c>
      <c r="AK49" s="126">
        <f t="array" ref="AK49">INDEX($P$3:$P$24,MATCH(AM49&amp;YEAR(AI49),$A$3:$A$24&amp;YEAR($B$3:$B$24),0))</f>
        <v>322023</v>
      </c>
      <c r="AL49" s="126" t="s">
        <v>1398</v>
      </c>
      <c r="AM49" s="126" t="str">
        <f t="shared" si="2"/>
        <v>Use Tax (313-11)</v>
      </c>
    </row>
    <row r="50" spans="33:39" x14ac:dyDescent="0.25">
      <c r="AG50" s="126">
        <v>49</v>
      </c>
      <c r="AH50" s="126" t="s">
        <v>1396</v>
      </c>
      <c r="AI50" s="128">
        <f t="shared" si="0"/>
        <v>40909</v>
      </c>
      <c r="AJ50" s="126">
        <f t="shared" si="1"/>
        <v>0</v>
      </c>
      <c r="AK50" s="126">
        <f t="array" ref="AK50">INDEX($P$3:$P$24,MATCH(AM50&amp;YEAR(AI50),$A$3:$A$24&amp;YEAR($B$3:$B$24),0))</f>
        <v>0</v>
      </c>
      <c r="AL50" s="126" t="s">
        <v>1398</v>
      </c>
      <c r="AM50" s="126" t="str">
        <f t="shared" si="2"/>
        <v>Taxpayer Assd Use Tax Accrual (313-98)</v>
      </c>
    </row>
    <row r="51" spans="33:39" x14ac:dyDescent="0.25">
      <c r="AG51" s="126">
        <v>50</v>
      </c>
      <c r="AH51" s="126" t="s">
        <v>1396</v>
      </c>
      <c r="AI51" s="128">
        <f t="shared" si="0"/>
        <v>40940</v>
      </c>
      <c r="AJ51" s="126">
        <f t="shared" si="1"/>
        <v>0</v>
      </c>
      <c r="AK51" s="126">
        <f t="array" ref="AK51">INDEX($P$3:$P$24,MATCH(AM51&amp;YEAR(AI51),$A$3:$A$24&amp;YEAR($B$3:$B$24),0))</f>
        <v>0</v>
      </c>
      <c r="AL51" s="126" t="s">
        <v>1398</v>
      </c>
      <c r="AM51" s="126" t="str">
        <f t="shared" si="2"/>
        <v>Taxpayer Assd Use Tax Accrual (313-98)</v>
      </c>
    </row>
    <row r="52" spans="33:39" x14ac:dyDescent="0.25">
      <c r="AG52" s="126">
        <v>51</v>
      </c>
      <c r="AH52" s="126" t="s">
        <v>1396</v>
      </c>
      <c r="AI52" s="128">
        <f t="shared" si="0"/>
        <v>40969</v>
      </c>
      <c r="AJ52" s="126">
        <f t="shared" si="1"/>
        <v>0</v>
      </c>
      <c r="AK52" s="126">
        <f t="array" ref="AK52">INDEX($P$3:$P$24,MATCH(AM52&amp;YEAR(AI52),$A$3:$A$24&amp;YEAR($B$3:$B$24),0))</f>
        <v>0</v>
      </c>
      <c r="AL52" s="126" t="s">
        <v>1398</v>
      </c>
      <c r="AM52" s="126" t="str">
        <f t="shared" si="2"/>
        <v>Taxpayer Assd Use Tax Accrual (313-98)</v>
      </c>
    </row>
    <row r="53" spans="33:39" x14ac:dyDescent="0.25">
      <c r="AG53" s="126">
        <v>52</v>
      </c>
      <c r="AH53" s="126" t="s">
        <v>1396</v>
      </c>
      <c r="AI53" s="128">
        <f t="shared" si="0"/>
        <v>41000</v>
      </c>
      <c r="AJ53" s="126">
        <f t="shared" si="1"/>
        <v>0</v>
      </c>
      <c r="AK53" s="126">
        <f t="array" ref="AK53">INDEX($P$3:$P$24,MATCH(AM53&amp;YEAR(AI53),$A$3:$A$24&amp;YEAR($B$3:$B$24),0))</f>
        <v>0</v>
      </c>
      <c r="AL53" s="126" t="s">
        <v>1398</v>
      </c>
      <c r="AM53" s="126" t="str">
        <f t="shared" si="2"/>
        <v>Taxpayer Assd Use Tax Accrual (313-98)</v>
      </c>
    </row>
    <row r="54" spans="33:39" x14ac:dyDescent="0.25">
      <c r="AG54" s="126">
        <v>53</v>
      </c>
      <c r="AH54" s="126" t="s">
        <v>1396</v>
      </c>
      <c r="AI54" s="128">
        <f t="shared" si="0"/>
        <v>41030</v>
      </c>
      <c r="AJ54" s="126">
        <f t="shared" si="1"/>
        <v>0</v>
      </c>
      <c r="AK54" s="126">
        <f t="array" ref="AK54">INDEX($P$3:$P$24,MATCH(AM54&amp;YEAR(AI54),$A$3:$A$24&amp;YEAR($B$3:$B$24),0))</f>
        <v>0</v>
      </c>
      <c r="AL54" s="126" t="s">
        <v>1398</v>
      </c>
      <c r="AM54" s="126" t="str">
        <f t="shared" si="2"/>
        <v>Taxpayer Assd Use Tax Accrual (313-98)</v>
      </c>
    </row>
    <row r="55" spans="33:39" x14ac:dyDescent="0.25">
      <c r="AG55" s="126">
        <v>54</v>
      </c>
      <c r="AH55" s="126" t="s">
        <v>1396</v>
      </c>
      <c r="AI55" s="128">
        <f t="shared" si="0"/>
        <v>41061</v>
      </c>
      <c r="AJ55" s="126">
        <f t="shared" si="1"/>
        <v>0</v>
      </c>
      <c r="AK55" s="126">
        <f t="array" ref="AK55">INDEX($P$3:$P$24,MATCH(AM55&amp;YEAR(AI55),$A$3:$A$24&amp;YEAR($B$3:$B$24),0))</f>
        <v>0</v>
      </c>
      <c r="AL55" s="126" t="s">
        <v>1398</v>
      </c>
      <c r="AM55" s="126" t="str">
        <f t="shared" si="2"/>
        <v>Taxpayer Assd Use Tax Accrual (313-98)</v>
      </c>
    </row>
    <row r="56" spans="33:39" x14ac:dyDescent="0.25">
      <c r="AG56" s="126">
        <v>55</v>
      </c>
      <c r="AH56" s="126" t="s">
        <v>1396</v>
      </c>
      <c r="AI56" s="128">
        <f t="shared" si="0"/>
        <v>41091</v>
      </c>
      <c r="AJ56" s="126">
        <f t="shared" si="1"/>
        <v>0</v>
      </c>
      <c r="AK56" s="126">
        <f t="array" ref="AK56">INDEX($P$3:$P$24,MATCH(AM56&amp;YEAR(AI56),$A$3:$A$24&amp;YEAR($B$3:$B$24),0))</f>
        <v>0</v>
      </c>
      <c r="AL56" s="126" t="s">
        <v>1398</v>
      </c>
      <c r="AM56" s="126" t="str">
        <f t="shared" si="2"/>
        <v>Taxpayer Assd Use Tax Accrual (313-98)</v>
      </c>
    </row>
    <row r="57" spans="33:39" x14ac:dyDescent="0.25">
      <c r="AG57" s="126">
        <v>56</v>
      </c>
      <c r="AH57" s="126" t="s">
        <v>1396</v>
      </c>
      <c r="AI57" s="128">
        <f t="shared" si="0"/>
        <v>41122</v>
      </c>
      <c r="AJ57" s="126">
        <f t="shared" si="1"/>
        <v>0</v>
      </c>
      <c r="AK57" s="126">
        <f t="array" ref="AK57">INDEX($P$3:$P$24,MATCH(AM57&amp;YEAR(AI57),$A$3:$A$24&amp;YEAR($B$3:$B$24),0))</f>
        <v>0</v>
      </c>
      <c r="AL57" s="126" t="s">
        <v>1398</v>
      </c>
      <c r="AM57" s="126" t="str">
        <f t="shared" si="2"/>
        <v>Taxpayer Assd Use Tax Accrual (313-98)</v>
      </c>
    </row>
    <row r="58" spans="33:39" x14ac:dyDescent="0.25">
      <c r="AG58" s="126">
        <v>57</v>
      </c>
      <c r="AH58" s="126" t="s">
        <v>1396</v>
      </c>
      <c r="AI58" s="128">
        <f t="shared" si="0"/>
        <v>41153</v>
      </c>
      <c r="AJ58" s="126">
        <f t="shared" si="1"/>
        <v>0</v>
      </c>
      <c r="AK58" s="126">
        <f t="array" ref="AK58">INDEX($P$3:$P$24,MATCH(AM58&amp;YEAR(AI58),$A$3:$A$24&amp;YEAR($B$3:$B$24),0))</f>
        <v>0</v>
      </c>
      <c r="AL58" s="126" t="s">
        <v>1398</v>
      </c>
      <c r="AM58" s="126" t="str">
        <f t="shared" si="2"/>
        <v>Taxpayer Assd Use Tax Accrual (313-98)</v>
      </c>
    </row>
    <row r="59" spans="33:39" x14ac:dyDescent="0.25">
      <c r="AG59" s="126">
        <v>58</v>
      </c>
      <c r="AH59" s="126" t="s">
        <v>1396</v>
      </c>
      <c r="AI59" s="128">
        <f t="shared" si="0"/>
        <v>41183</v>
      </c>
      <c r="AJ59" s="126">
        <f t="shared" si="1"/>
        <v>0</v>
      </c>
      <c r="AK59" s="126">
        <f t="array" ref="AK59">INDEX($P$3:$P$24,MATCH(AM59&amp;YEAR(AI59),$A$3:$A$24&amp;YEAR($B$3:$B$24),0))</f>
        <v>0</v>
      </c>
      <c r="AL59" s="126" t="s">
        <v>1398</v>
      </c>
      <c r="AM59" s="126" t="str">
        <f t="shared" si="2"/>
        <v>Taxpayer Assd Use Tax Accrual (313-98)</v>
      </c>
    </row>
    <row r="60" spans="33:39" x14ac:dyDescent="0.25">
      <c r="AG60" s="126">
        <v>59</v>
      </c>
      <c r="AH60" s="126" t="s">
        <v>1396</v>
      </c>
      <c r="AI60" s="128">
        <f t="shared" si="0"/>
        <v>41214</v>
      </c>
      <c r="AJ60" s="126">
        <f t="shared" si="1"/>
        <v>0</v>
      </c>
      <c r="AK60" s="126">
        <f t="array" ref="AK60">INDEX($P$3:$P$24,MATCH(AM60&amp;YEAR(AI60),$A$3:$A$24&amp;YEAR($B$3:$B$24),0))</f>
        <v>0</v>
      </c>
      <c r="AL60" s="126" t="s">
        <v>1398</v>
      </c>
      <c r="AM60" s="126" t="str">
        <f t="shared" si="2"/>
        <v>Taxpayer Assd Use Tax Accrual (313-98)</v>
      </c>
    </row>
    <row r="61" spans="33:39" x14ac:dyDescent="0.25">
      <c r="AG61" s="126">
        <v>60</v>
      </c>
      <c r="AH61" s="126" t="s">
        <v>1396</v>
      </c>
      <c r="AI61" s="128">
        <f t="shared" si="0"/>
        <v>41244</v>
      </c>
      <c r="AJ61" s="126">
        <f t="shared" si="1"/>
        <v>8682.44</v>
      </c>
      <c r="AK61" s="126">
        <f t="array" ref="AK61">INDEX($P$3:$P$24,MATCH(AM61&amp;YEAR(AI61),$A$3:$A$24&amp;YEAR($B$3:$B$24),0))</f>
        <v>0</v>
      </c>
      <c r="AL61" s="126" t="s">
        <v>1398</v>
      </c>
      <c r="AM61" s="126" t="str">
        <f t="shared" si="2"/>
        <v>Taxpayer Assd Use Tax Accrual (313-98)</v>
      </c>
    </row>
    <row r="62" spans="33:39" x14ac:dyDescent="0.25">
      <c r="AG62" s="126">
        <v>61</v>
      </c>
      <c r="AH62" s="126" t="s">
        <v>1396</v>
      </c>
      <c r="AI62" s="128">
        <f t="shared" si="0"/>
        <v>41275</v>
      </c>
      <c r="AJ62" s="126">
        <f t="shared" si="1"/>
        <v>0</v>
      </c>
      <c r="AK62" s="126">
        <f t="array" ref="AK62">INDEX($P$3:$P$24,MATCH(AM62&amp;YEAR(AI62),$A$3:$A$24&amp;YEAR($B$3:$B$24),0))</f>
        <v>0</v>
      </c>
      <c r="AL62" s="126" t="s">
        <v>1398</v>
      </c>
      <c r="AM62" s="126" t="str">
        <f t="shared" si="2"/>
        <v>Taxpayer Assd Use Tax Accrual (313-98)</v>
      </c>
    </row>
    <row r="63" spans="33:39" x14ac:dyDescent="0.25">
      <c r="AG63" s="126">
        <v>62</v>
      </c>
      <c r="AH63" s="126" t="s">
        <v>1396</v>
      </c>
      <c r="AI63" s="128">
        <f t="shared" si="0"/>
        <v>41306</v>
      </c>
      <c r="AJ63" s="126">
        <f t="shared" si="1"/>
        <v>0</v>
      </c>
      <c r="AK63" s="126">
        <f t="array" ref="AK63">INDEX($P$3:$P$24,MATCH(AM63&amp;YEAR(AI63),$A$3:$A$24&amp;YEAR($B$3:$B$24),0))</f>
        <v>0</v>
      </c>
      <c r="AL63" s="126" t="s">
        <v>1398</v>
      </c>
      <c r="AM63" s="126" t="str">
        <f t="shared" si="2"/>
        <v>Taxpayer Assd Use Tax Accrual (313-98)</v>
      </c>
    </row>
    <row r="64" spans="33:39" x14ac:dyDescent="0.25">
      <c r="AG64" s="126">
        <v>63</v>
      </c>
      <c r="AH64" s="126" t="s">
        <v>1396</v>
      </c>
      <c r="AI64" s="128">
        <f t="shared" si="0"/>
        <v>41334</v>
      </c>
      <c r="AJ64" s="126">
        <f t="shared" si="1"/>
        <v>0</v>
      </c>
      <c r="AK64" s="126">
        <f t="array" ref="AK64">INDEX($P$3:$P$24,MATCH(AM64&amp;YEAR(AI64),$A$3:$A$24&amp;YEAR($B$3:$B$24),0))</f>
        <v>0</v>
      </c>
      <c r="AL64" s="126" t="s">
        <v>1398</v>
      </c>
      <c r="AM64" s="126" t="str">
        <f t="shared" si="2"/>
        <v>Taxpayer Assd Use Tax Accrual (313-98)</v>
      </c>
    </row>
    <row r="65" spans="33:39" x14ac:dyDescent="0.25">
      <c r="AG65" s="126">
        <v>64</v>
      </c>
      <c r="AH65" s="126" t="s">
        <v>1396</v>
      </c>
      <c r="AI65" s="128">
        <f t="shared" si="0"/>
        <v>41365</v>
      </c>
      <c r="AJ65" s="126">
        <f t="shared" si="1"/>
        <v>0</v>
      </c>
      <c r="AK65" s="126">
        <f t="array" ref="AK65">INDEX($P$3:$P$24,MATCH(AM65&amp;YEAR(AI65),$A$3:$A$24&amp;YEAR($B$3:$B$24),0))</f>
        <v>0</v>
      </c>
      <c r="AL65" s="126" t="s">
        <v>1398</v>
      </c>
      <c r="AM65" s="126" t="str">
        <f t="shared" si="2"/>
        <v>Taxpayer Assd Use Tax Accrual (313-98)</v>
      </c>
    </row>
    <row r="66" spans="33:39" x14ac:dyDescent="0.25">
      <c r="AG66" s="126">
        <v>65</v>
      </c>
      <c r="AH66" s="126" t="s">
        <v>1396</v>
      </c>
      <c r="AI66" s="128">
        <f t="shared" ref="AI66:AI129" si="14">DATE(YEAR(INDEX($B$2:$N$24,INT((AG66+11)/12)+1,1)),IF(MOD(AG66,12)&lt;&gt;0,MOD(AG66,12),12),1)</f>
        <v>41395</v>
      </c>
      <c r="AJ66" s="126">
        <f t="shared" ref="AJ66:AJ129" si="15">INDEX($C$3:$N$24,INT((AG66+11)/12),AG66-(12*(INT((AG66+11)/12)-1)))</f>
        <v>0</v>
      </c>
      <c r="AK66" s="126">
        <f t="array" ref="AK66">INDEX($P$3:$P$24,MATCH(AM66&amp;YEAR(AI66),$A$3:$A$24&amp;YEAR($B$3:$B$24),0))</f>
        <v>0</v>
      </c>
      <c r="AL66" s="126" t="s">
        <v>1398</v>
      </c>
      <c r="AM66" s="126" t="str">
        <f t="shared" ref="AM66:AM129" si="16">INDEX($A$3:$A$24,INT((AG66+11)/12))</f>
        <v>Taxpayer Assd Use Tax Accrual (313-98)</v>
      </c>
    </row>
    <row r="67" spans="33:39" x14ac:dyDescent="0.25">
      <c r="AG67" s="126">
        <v>66</v>
      </c>
      <c r="AH67" s="126" t="s">
        <v>1396</v>
      </c>
      <c r="AI67" s="128">
        <f t="shared" si="14"/>
        <v>41426</v>
      </c>
      <c r="AJ67" s="126">
        <f t="shared" si="15"/>
        <v>0</v>
      </c>
      <c r="AK67" s="126">
        <f t="array" ref="AK67">INDEX($P$3:$P$24,MATCH(AM67&amp;YEAR(AI67),$A$3:$A$24&amp;YEAR($B$3:$B$24),0))</f>
        <v>0</v>
      </c>
      <c r="AL67" s="126" t="s">
        <v>1398</v>
      </c>
      <c r="AM67" s="126" t="str">
        <f t="shared" si="16"/>
        <v>Taxpayer Assd Use Tax Accrual (313-98)</v>
      </c>
    </row>
    <row r="68" spans="33:39" x14ac:dyDescent="0.25">
      <c r="AG68" s="126">
        <v>67</v>
      </c>
      <c r="AH68" s="126" t="s">
        <v>1396</v>
      </c>
      <c r="AI68" s="128">
        <f t="shared" si="14"/>
        <v>41456</v>
      </c>
      <c r="AJ68" s="126">
        <f t="shared" si="15"/>
        <v>0</v>
      </c>
      <c r="AK68" s="126">
        <f t="array" ref="AK68">INDEX($P$3:$P$24,MATCH(AM68&amp;YEAR(AI68),$A$3:$A$24&amp;YEAR($B$3:$B$24),0))</f>
        <v>0</v>
      </c>
      <c r="AL68" s="126" t="s">
        <v>1398</v>
      </c>
      <c r="AM68" s="126" t="str">
        <f t="shared" si="16"/>
        <v>Taxpayer Assd Use Tax Accrual (313-98)</v>
      </c>
    </row>
    <row r="69" spans="33:39" x14ac:dyDescent="0.25">
      <c r="AG69" s="126">
        <v>68</v>
      </c>
      <c r="AH69" s="126" t="s">
        <v>1396</v>
      </c>
      <c r="AI69" s="128">
        <f t="shared" si="14"/>
        <v>41487</v>
      </c>
      <c r="AJ69" s="126">
        <f t="shared" si="15"/>
        <v>0</v>
      </c>
      <c r="AK69" s="126">
        <f t="array" ref="AK69">INDEX($P$3:$P$24,MATCH(AM69&amp;YEAR(AI69),$A$3:$A$24&amp;YEAR($B$3:$B$24),0))</f>
        <v>0</v>
      </c>
      <c r="AL69" s="126" t="s">
        <v>1398</v>
      </c>
      <c r="AM69" s="126" t="str">
        <f t="shared" si="16"/>
        <v>Taxpayer Assd Use Tax Accrual (313-98)</v>
      </c>
    </row>
    <row r="70" spans="33:39" x14ac:dyDescent="0.25">
      <c r="AG70" s="126">
        <v>69</v>
      </c>
      <c r="AH70" s="126" t="s">
        <v>1396</v>
      </c>
      <c r="AI70" s="128">
        <f t="shared" si="14"/>
        <v>41518</v>
      </c>
      <c r="AJ70" s="126">
        <f t="shared" si="15"/>
        <v>0</v>
      </c>
      <c r="AK70" s="126">
        <f t="array" ref="AK70">INDEX($P$3:$P$24,MATCH(AM70&amp;YEAR(AI70),$A$3:$A$24&amp;YEAR($B$3:$B$24),0))</f>
        <v>0</v>
      </c>
      <c r="AL70" s="126" t="s">
        <v>1398</v>
      </c>
      <c r="AM70" s="126" t="str">
        <f t="shared" si="16"/>
        <v>Taxpayer Assd Use Tax Accrual (313-98)</v>
      </c>
    </row>
    <row r="71" spans="33:39" x14ac:dyDescent="0.25">
      <c r="AG71" s="126">
        <v>70</v>
      </c>
      <c r="AH71" s="126" t="s">
        <v>1396</v>
      </c>
      <c r="AI71" s="128">
        <f t="shared" si="14"/>
        <v>41548</v>
      </c>
      <c r="AJ71" s="126">
        <f t="shared" si="15"/>
        <v>0</v>
      </c>
      <c r="AK71" s="126">
        <f t="array" ref="AK71">INDEX($P$3:$P$24,MATCH(AM71&amp;YEAR(AI71),$A$3:$A$24&amp;YEAR($B$3:$B$24),0))</f>
        <v>0</v>
      </c>
      <c r="AL71" s="126" t="s">
        <v>1398</v>
      </c>
      <c r="AM71" s="126" t="str">
        <f t="shared" si="16"/>
        <v>Taxpayer Assd Use Tax Accrual (313-98)</v>
      </c>
    </row>
    <row r="72" spans="33:39" x14ac:dyDescent="0.25">
      <c r="AG72" s="126">
        <v>71</v>
      </c>
      <c r="AH72" s="126" t="s">
        <v>1396</v>
      </c>
      <c r="AI72" s="128">
        <f t="shared" si="14"/>
        <v>41579</v>
      </c>
      <c r="AJ72" s="126">
        <f t="shared" si="15"/>
        <v>0</v>
      </c>
      <c r="AK72" s="126">
        <f t="array" ref="AK72">INDEX($P$3:$P$24,MATCH(AM72&amp;YEAR(AI72),$A$3:$A$24&amp;YEAR($B$3:$B$24),0))</f>
        <v>0</v>
      </c>
      <c r="AL72" s="126" t="s">
        <v>1398</v>
      </c>
      <c r="AM72" s="126" t="str">
        <f t="shared" si="16"/>
        <v>Taxpayer Assd Use Tax Accrual (313-98)</v>
      </c>
    </row>
    <row r="73" spans="33:39" x14ac:dyDescent="0.25">
      <c r="AG73" s="126">
        <v>72</v>
      </c>
      <c r="AH73" s="126" t="s">
        <v>1396</v>
      </c>
      <c r="AI73" s="128">
        <f t="shared" si="14"/>
        <v>41609</v>
      </c>
      <c r="AJ73" s="126">
        <f t="shared" si="15"/>
        <v>0</v>
      </c>
      <c r="AK73" s="126">
        <f t="array" ref="AK73">INDEX($P$3:$P$24,MATCH(AM73&amp;YEAR(AI73),$A$3:$A$24&amp;YEAR($B$3:$B$24),0))</f>
        <v>0</v>
      </c>
      <c r="AL73" s="126" t="s">
        <v>1398</v>
      </c>
      <c r="AM73" s="126" t="str">
        <f t="shared" si="16"/>
        <v>Taxpayer Assd Use Tax Accrual (313-98)</v>
      </c>
    </row>
    <row r="74" spans="33:39" x14ac:dyDescent="0.25">
      <c r="AG74" s="126">
        <v>73</v>
      </c>
      <c r="AH74" s="126" t="s">
        <v>1396</v>
      </c>
      <c r="AI74" s="128">
        <f t="shared" si="14"/>
        <v>40909</v>
      </c>
      <c r="AJ74" s="126">
        <f t="shared" si="15"/>
        <v>0</v>
      </c>
      <c r="AK74" s="126">
        <f t="array" ref="AK74">INDEX($P$3:$P$24,MATCH(AM74&amp;YEAR(AI74),$A$3:$A$24&amp;YEAR($B$3:$B$24),0))</f>
        <v>0</v>
      </c>
      <c r="AL74" s="126" t="s">
        <v>1398</v>
      </c>
      <c r="AM74" s="126" t="str">
        <f t="shared" si="16"/>
        <v>Taxpayer Assd Sales Tax Accrual (313-99)</v>
      </c>
    </row>
    <row r="75" spans="33:39" x14ac:dyDescent="0.25">
      <c r="AG75" s="126">
        <v>74</v>
      </c>
      <c r="AH75" s="126" t="s">
        <v>1396</v>
      </c>
      <c r="AI75" s="128">
        <f t="shared" si="14"/>
        <v>40940</v>
      </c>
      <c r="AJ75" s="126">
        <f t="shared" si="15"/>
        <v>0</v>
      </c>
      <c r="AK75" s="126">
        <f t="array" ref="AK75">INDEX($P$3:$P$24,MATCH(AM75&amp;YEAR(AI75),$A$3:$A$24&amp;YEAR($B$3:$B$24),0))</f>
        <v>0</v>
      </c>
      <c r="AL75" s="126" t="s">
        <v>1398</v>
      </c>
      <c r="AM75" s="126" t="str">
        <f t="shared" si="16"/>
        <v>Taxpayer Assd Sales Tax Accrual (313-99)</v>
      </c>
    </row>
    <row r="76" spans="33:39" x14ac:dyDescent="0.25">
      <c r="AG76" s="126">
        <v>75</v>
      </c>
      <c r="AH76" s="126" t="s">
        <v>1396</v>
      </c>
      <c r="AI76" s="128">
        <f t="shared" si="14"/>
        <v>40969</v>
      </c>
      <c r="AJ76" s="126">
        <f t="shared" si="15"/>
        <v>0</v>
      </c>
      <c r="AK76" s="126">
        <f t="array" ref="AK76">INDEX($P$3:$P$24,MATCH(AM76&amp;YEAR(AI76),$A$3:$A$24&amp;YEAR($B$3:$B$24),0))</f>
        <v>0</v>
      </c>
      <c r="AL76" s="126" t="s">
        <v>1398</v>
      </c>
      <c r="AM76" s="126" t="str">
        <f t="shared" si="16"/>
        <v>Taxpayer Assd Sales Tax Accrual (313-99)</v>
      </c>
    </row>
    <row r="77" spans="33:39" x14ac:dyDescent="0.25">
      <c r="AG77" s="126">
        <v>76</v>
      </c>
      <c r="AH77" s="126" t="s">
        <v>1396</v>
      </c>
      <c r="AI77" s="128">
        <f t="shared" si="14"/>
        <v>41000</v>
      </c>
      <c r="AJ77" s="126">
        <f t="shared" si="15"/>
        <v>0</v>
      </c>
      <c r="AK77" s="126">
        <f t="array" ref="AK77">INDEX($P$3:$P$24,MATCH(AM77&amp;YEAR(AI77),$A$3:$A$24&amp;YEAR($B$3:$B$24),0))</f>
        <v>0</v>
      </c>
      <c r="AL77" s="126" t="s">
        <v>1398</v>
      </c>
      <c r="AM77" s="126" t="str">
        <f t="shared" si="16"/>
        <v>Taxpayer Assd Sales Tax Accrual (313-99)</v>
      </c>
    </row>
    <row r="78" spans="33:39" x14ac:dyDescent="0.25">
      <c r="AG78" s="126">
        <v>77</v>
      </c>
      <c r="AH78" s="126" t="s">
        <v>1396</v>
      </c>
      <c r="AI78" s="128">
        <f t="shared" si="14"/>
        <v>41030</v>
      </c>
      <c r="AJ78" s="126">
        <f t="shared" si="15"/>
        <v>0</v>
      </c>
      <c r="AK78" s="126">
        <f t="array" ref="AK78">INDEX($P$3:$P$24,MATCH(AM78&amp;YEAR(AI78),$A$3:$A$24&amp;YEAR($B$3:$B$24),0))</f>
        <v>0</v>
      </c>
      <c r="AL78" s="126" t="s">
        <v>1398</v>
      </c>
      <c r="AM78" s="126" t="str">
        <f t="shared" si="16"/>
        <v>Taxpayer Assd Sales Tax Accrual (313-99)</v>
      </c>
    </row>
    <row r="79" spans="33:39" x14ac:dyDescent="0.25">
      <c r="AG79" s="126">
        <v>78</v>
      </c>
      <c r="AH79" s="126" t="s">
        <v>1396</v>
      </c>
      <c r="AI79" s="128">
        <f t="shared" si="14"/>
        <v>41061</v>
      </c>
      <c r="AJ79" s="126">
        <f t="shared" si="15"/>
        <v>0</v>
      </c>
      <c r="AK79" s="126">
        <f t="array" ref="AK79">INDEX($P$3:$P$24,MATCH(AM79&amp;YEAR(AI79),$A$3:$A$24&amp;YEAR($B$3:$B$24),0))</f>
        <v>0</v>
      </c>
      <c r="AL79" s="126" t="s">
        <v>1398</v>
      </c>
      <c r="AM79" s="126" t="str">
        <f t="shared" si="16"/>
        <v>Taxpayer Assd Sales Tax Accrual (313-99)</v>
      </c>
    </row>
    <row r="80" spans="33:39" x14ac:dyDescent="0.25">
      <c r="AG80" s="126">
        <v>79</v>
      </c>
      <c r="AH80" s="126" t="s">
        <v>1396</v>
      </c>
      <c r="AI80" s="128">
        <f t="shared" si="14"/>
        <v>41091</v>
      </c>
      <c r="AJ80" s="126">
        <f t="shared" si="15"/>
        <v>0</v>
      </c>
      <c r="AK80" s="126">
        <f t="array" ref="AK80">INDEX($P$3:$P$24,MATCH(AM80&amp;YEAR(AI80),$A$3:$A$24&amp;YEAR($B$3:$B$24),0))</f>
        <v>0</v>
      </c>
      <c r="AL80" s="126" t="s">
        <v>1398</v>
      </c>
      <c r="AM80" s="126" t="str">
        <f t="shared" si="16"/>
        <v>Taxpayer Assd Sales Tax Accrual (313-99)</v>
      </c>
    </row>
    <row r="81" spans="33:39" x14ac:dyDescent="0.25">
      <c r="AG81" s="126">
        <v>80</v>
      </c>
      <c r="AH81" s="126" t="s">
        <v>1396</v>
      </c>
      <c r="AI81" s="128">
        <f t="shared" si="14"/>
        <v>41122</v>
      </c>
      <c r="AJ81" s="126">
        <f t="shared" si="15"/>
        <v>0</v>
      </c>
      <c r="AK81" s="126">
        <f t="array" ref="AK81">INDEX($P$3:$P$24,MATCH(AM81&amp;YEAR(AI81),$A$3:$A$24&amp;YEAR($B$3:$B$24),0))</f>
        <v>0</v>
      </c>
      <c r="AL81" s="126" t="s">
        <v>1398</v>
      </c>
      <c r="AM81" s="126" t="str">
        <f t="shared" si="16"/>
        <v>Taxpayer Assd Sales Tax Accrual (313-99)</v>
      </c>
    </row>
    <row r="82" spans="33:39" x14ac:dyDescent="0.25">
      <c r="AG82" s="126">
        <v>81</v>
      </c>
      <c r="AH82" s="126" t="s">
        <v>1396</v>
      </c>
      <c r="AI82" s="128">
        <f t="shared" si="14"/>
        <v>41153</v>
      </c>
      <c r="AJ82" s="126">
        <f t="shared" si="15"/>
        <v>0</v>
      </c>
      <c r="AK82" s="126">
        <f t="array" ref="AK82">INDEX($P$3:$P$24,MATCH(AM82&amp;YEAR(AI82),$A$3:$A$24&amp;YEAR($B$3:$B$24),0))</f>
        <v>0</v>
      </c>
      <c r="AL82" s="126" t="s">
        <v>1398</v>
      </c>
      <c r="AM82" s="126" t="str">
        <f t="shared" si="16"/>
        <v>Taxpayer Assd Sales Tax Accrual (313-99)</v>
      </c>
    </row>
    <row r="83" spans="33:39" x14ac:dyDescent="0.25">
      <c r="AG83" s="126">
        <v>82</v>
      </c>
      <c r="AH83" s="126" t="s">
        <v>1396</v>
      </c>
      <c r="AI83" s="128">
        <f t="shared" si="14"/>
        <v>41183</v>
      </c>
      <c r="AJ83" s="126">
        <f t="shared" si="15"/>
        <v>0</v>
      </c>
      <c r="AK83" s="126">
        <f t="array" ref="AK83">INDEX($P$3:$P$24,MATCH(AM83&amp;YEAR(AI83),$A$3:$A$24&amp;YEAR($B$3:$B$24),0))</f>
        <v>0</v>
      </c>
      <c r="AL83" s="126" t="s">
        <v>1398</v>
      </c>
      <c r="AM83" s="126" t="str">
        <f t="shared" si="16"/>
        <v>Taxpayer Assd Sales Tax Accrual (313-99)</v>
      </c>
    </row>
    <row r="84" spans="33:39" x14ac:dyDescent="0.25">
      <c r="AG84" s="126">
        <v>83</v>
      </c>
      <c r="AH84" s="126" t="s">
        <v>1396</v>
      </c>
      <c r="AI84" s="128">
        <f t="shared" si="14"/>
        <v>41214</v>
      </c>
      <c r="AJ84" s="126">
        <f t="shared" si="15"/>
        <v>0</v>
      </c>
      <c r="AK84" s="126">
        <f t="array" ref="AK84">INDEX($P$3:$P$24,MATCH(AM84&amp;YEAR(AI84),$A$3:$A$24&amp;YEAR($B$3:$B$24),0))</f>
        <v>0</v>
      </c>
      <c r="AL84" s="126" t="s">
        <v>1398</v>
      </c>
      <c r="AM84" s="126" t="str">
        <f t="shared" si="16"/>
        <v>Taxpayer Assd Sales Tax Accrual (313-99)</v>
      </c>
    </row>
    <row r="85" spans="33:39" x14ac:dyDescent="0.25">
      <c r="AG85" s="126">
        <v>84</v>
      </c>
      <c r="AH85" s="126" t="s">
        <v>1396</v>
      </c>
      <c r="AI85" s="128">
        <f t="shared" si="14"/>
        <v>41244</v>
      </c>
      <c r="AJ85" s="126">
        <f t="shared" si="15"/>
        <v>12617.79</v>
      </c>
      <c r="AK85" s="126">
        <f t="array" ref="AK85">INDEX($P$3:$P$24,MATCH(AM85&amp;YEAR(AI85),$A$3:$A$24&amp;YEAR($B$3:$B$24),0))</f>
        <v>0</v>
      </c>
      <c r="AL85" s="126" t="s">
        <v>1398</v>
      </c>
      <c r="AM85" s="126" t="str">
        <f t="shared" si="16"/>
        <v>Taxpayer Assd Sales Tax Accrual (313-99)</v>
      </c>
    </row>
    <row r="86" spans="33:39" x14ac:dyDescent="0.25">
      <c r="AG86" s="126">
        <v>85</v>
      </c>
      <c r="AH86" s="126" t="s">
        <v>1396</v>
      </c>
      <c r="AI86" s="128">
        <f t="shared" si="14"/>
        <v>41275</v>
      </c>
      <c r="AJ86" s="126">
        <f t="shared" si="15"/>
        <v>0</v>
      </c>
      <c r="AK86" s="126">
        <f t="array" ref="AK86">INDEX($P$3:$P$24,MATCH(AM86&amp;YEAR(AI86),$A$3:$A$24&amp;YEAR($B$3:$B$24),0))</f>
        <v>0</v>
      </c>
      <c r="AL86" s="126" t="s">
        <v>1398</v>
      </c>
      <c r="AM86" s="126" t="str">
        <f t="shared" si="16"/>
        <v>Taxpayer Assd Sales Tax Accrual (313-99)</v>
      </c>
    </row>
    <row r="87" spans="33:39" x14ac:dyDescent="0.25">
      <c r="AG87" s="126">
        <v>86</v>
      </c>
      <c r="AH87" s="126" t="s">
        <v>1396</v>
      </c>
      <c r="AI87" s="128">
        <f t="shared" si="14"/>
        <v>41306</v>
      </c>
      <c r="AJ87" s="126">
        <f t="shared" si="15"/>
        <v>0</v>
      </c>
      <c r="AK87" s="126">
        <f t="array" ref="AK87">INDEX($P$3:$P$24,MATCH(AM87&amp;YEAR(AI87),$A$3:$A$24&amp;YEAR($B$3:$B$24),0))</f>
        <v>0</v>
      </c>
      <c r="AL87" s="126" t="s">
        <v>1398</v>
      </c>
      <c r="AM87" s="126" t="str">
        <f t="shared" si="16"/>
        <v>Taxpayer Assd Sales Tax Accrual (313-99)</v>
      </c>
    </row>
    <row r="88" spans="33:39" x14ac:dyDescent="0.25">
      <c r="AG88" s="126">
        <v>87</v>
      </c>
      <c r="AH88" s="126" t="s">
        <v>1396</v>
      </c>
      <c r="AI88" s="128">
        <f t="shared" si="14"/>
        <v>41334</v>
      </c>
      <c r="AJ88" s="126">
        <f t="shared" si="15"/>
        <v>0</v>
      </c>
      <c r="AK88" s="126">
        <f t="array" ref="AK88">INDEX($P$3:$P$24,MATCH(AM88&amp;YEAR(AI88),$A$3:$A$24&amp;YEAR($B$3:$B$24),0))</f>
        <v>0</v>
      </c>
      <c r="AL88" s="126" t="s">
        <v>1398</v>
      </c>
      <c r="AM88" s="126" t="str">
        <f t="shared" si="16"/>
        <v>Taxpayer Assd Sales Tax Accrual (313-99)</v>
      </c>
    </row>
    <row r="89" spans="33:39" x14ac:dyDescent="0.25">
      <c r="AG89" s="126">
        <v>88</v>
      </c>
      <c r="AH89" s="126" t="s">
        <v>1396</v>
      </c>
      <c r="AI89" s="128">
        <f t="shared" si="14"/>
        <v>41365</v>
      </c>
      <c r="AJ89" s="126">
        <f t="shared" si="15"/>
        <v>0</v>
      </c>
      <c r="AK89" s="126">
        <f t="array" ref="AK89">INDEX($P$3:$P$24,MATCH(AM89&amp;YEAR(AI89),$A$3:$A$24&amp;YEAR($B$3:$B$24),0))</f>
        <v>0</v>
      </c>
      <c r="AL89" s="126" t="s">
        <v>1398</v>
      </c>
      <c r="AM89" s="126" t="str">
        <f t="shared" si="16"/>
        <v>Taxpayer Assd Sales Tax Accrual (313-99)</v>
      </c>
    </row>
    <row r="90" spans="33:39" x14ac:dyDescent="0.25">
      <c r="AG90" s="126">
        <v>89</v>
      </c>
      <c r="AH90" s="126" t="s">
        <v>1396</v>
      </c>
      <c r="AI90" s="128">
        <f t="shared" si="14"/>
        <v>41395</v>
      </c>
      <c r="AJ90" s="126">
        <f t="shared" si="15"/>
        <v>0</v>
      </c>
      <c r="AK90" s="126">
        <f t="array" ref="AK90">INDEX($P$3:$P$24,MATCH(AM90&amp;YEAR(AI90),$A$3:$A$24&amp;YEAR($B$3:$B$24),0))</f>
        <v>0</v>
      </c>
      <c r="AL90" s="126" t="s">
        <v>1398</v>
      </c>
      <c r="AM90" s="126" t="str">
        <f t="shared" si="16"/>
        <v>Taxpayer Assd Sales Tax Accrual (313-99)</v>
      </c>
    </row>
    <row r="91" spans="33:39" x14ac:dyDescent="0.25">
      <c r="AG91" s="126">
        <v>90</v>
      </c>
      <c r="AH91" s="126" t="s">
        <v>1396</v>
      </c>
      <c r="AI91" s="128">
        <f t="shared" si="14"/>
        <v>41426</v>
      </c>
      <c r="AJ91" s="126">
        <f t="shared" si="15"/>
        <v>0</v>
      </c>
      <c r="AK91" s="126">
        <f t="array" ref="AK91">INDEX($P$3:$P$24,MATCH(AM91&amp;YEAR(AI91),$A$3:$A$24&amp;YEAR($B$3:$B$24),0))</f>
        <v>0</v>
      </c>
      <c r="AL91" s="126" t="s">
        <v>1398</v>
      </c>
      <c r="AM91" s="126" t="str">
        <f t="shared" si="16"/>
        <v>Taxpayer Assd Sales Tax Accrual (313-99)</v>
      </c>
    </row>
    <row r="92" spans="33:39" x14ac:dyDescent="0.25">
      <c r="AG92" s="126">
        <v>91</v>
      </c>
      <c r="AH92" s="126" t="s">
        <v>1396</v>
      </c>
      <c r="AI92" s="128">
        <f t="shared" si="14"/>
        <v>41456</v>
      </c>
      <c r="AJ92" s="126">
        <f t="shared" si="15"/>
        <v>0</v>
      </c>
      <c r="AK92" s="126">
        <f t="array" ref="AK92">INDEX($P$3:$P$24,MATCH(AM92&amp;YEAR(AI92),$A$3:$A$24&amp;YEAR($B$3:$B$24),0))</f>
        <v>0</v>
      </c>
      <c r="AL92" s="126" t="s">
        <v>1398</v>
      </c>
      <c r="AM92" s="126" t="str">
        <f t="shared" si="16"/>
        <v>Taxpayer Assd Sales Tax Accrual (313-99)</v>
      </c>
    </row>
    <row r="93" spans="33:39" x14ac:dyDescent="0.25">
      <c r="AG93" s="126">
        <v>92</v>
      </c>
      <c r="AH93" s="126" t="s">
        <v>1396</v>
      </c>
      <c r="AI93" s="128">
        <f t="shared" si="14"/>
        <v>41487</v>
      </c>
      <c r="AJ93" s="126">
        <f t="shared" si="15"/>
        <v>0</v>
      </c>
      <c r="AK93" s="126">
        <f t="array" ref="AK93">INDEX($P$3:$P$24,MATCH(AM93&amp;YEAR(AI93),$A$3:$A$24&amp;YEAR($B$3:$B$24),0))</f>
        <v>0</v>
      </c>
      <c r="AL93" s="126" t="s">
        <v>1398</v>
      </c>
      <c r="AM93" s="126" t="str">
        <f t="shared" si="16"/>
        <v>Taxpayer Assd Sales Tax Accrual (313-99)</v>
      </c>
    </row>
    <row r="94" spans="33:39" x14ac:dyDescent="0.25">
      <c r="AG94" s="126">
        <v>93</v>
      </c>
      <c r="AH94" s="126" t="s">
        <v>1396</v>
      </c>
      <c r="AI94" s="128">
        <f t="shared" si="14"/>
        <v>41518</v>
      </c>
      <c r="AJ94" s="126">
        <f t="shared" si="15"/>
        <v>0</v>
      </c>
      <c r="AK94" s="126">
        <f t="array" ref="AK94">INDEX($P$3:$P$24,MATCH(AM94&amp;YEAR(AI94),$A$3:$A$24&amp;YEAR($B$3:$B$24),0))</f>
        <v>0</v>
      </c>
      <c r="AL94" s="126" t="s">
        <v>1398</v>
      </c>
      <c r="AM94" s="126" t="str">
        <f t="shared" si="16"/>
        <v>Taxpayer Assd Sales Tax Accrual (313-99)</v>
      </c>
    </row>
    <row r="95" spans="33:39" x14ac:dyDescent="0.25">
      <c r="AG95" s="126">
        <v>94</v>
      </c>
      <c r="AH95" s="126" t="s">
        <v>1396</v>
      </c>
      <c r="AI95" s="128">
        <f t="shared" si="14"/>
        <v>41548</v>
      </c>
      <c r="AJ95" s="126">
        <f t="shared" si="15"/>
        <v>0</v>
      </c>
      <c r="AK95" s="126">
        <f t="array" ref="AK95">INDEX($P$3:$P$24,MATCH(AM95&amp;YEAR(AI95),$A$3:$A$24&amp;YEAR($B$3:$B$24),0))</f>
        <v>0</v>
      </c>
      <c r="AL95" s="126" t="s">
        <v>1398</v>
      </c>
      <c r="AM95" s="126" t="str">
        <f t="shared" si="16"/>
        <v>Taxpayer Assd Sales Tax Accrual (313-99)</v>
      </c>
    </row>
    <row r="96" spans="33:39" x14ac:dyDescent="0.25">
      <c r="AG96" s="126">
        <v>95</v>
      </c>
      <c r="AH96" s="126" t="s">
        <v>1396</v>
      </c>
      <c r="AI96" s="128">
        <f t="shared" si="14"/>
        <v>41579</v>
      </c>
      <c r="AJ96" s="126">
        <f t="shared" si="15"/>
        <v>0</v>
      </c>
      <c r="AK96" s="126">
        <f t="array" ref="AK96">INDEX($P$3:$P$24,MATCH(AM96&amp;YEAR(AI96),$A$3:$A$24&amp;YEAR($B$3:$B$24),0))</f>
        <v>0</v>
      </c>
      <c r="AL96" s="126" t="s">
        <v>1398</v>
      </c>
      <c r="AM96" s="126" t="str">
        <f t="shared" si="16"/>
        <v>Taxpayer Assd Sales Tax Accrual (313-99)</v>
      </c>
    </row>
    <row r="97" spans="33:39" x14ac:dyDescent="0.25">
      <c r="AG97" s="126">
        <v>96</v>
      </c>
      <c r="AH97" s="126" t="s">
        <v>1396</v>
      </c>
      <c r="AI97" s="128">
        <f t="shared" si="14"/>
        <v>41609</v>
      </c>
      <c r="AJ97" s="126">
        <f t="shared" si="15"/>
        <v>0</v>
      </c>
      <c r="AK97" s="126">
        <f t="array" ref="AK97">INDEX($P$3:$P$24,MATCH(AM97&amp;YEAR(AI97),$A$3:$A$24&amp;YEAR($B$3:$B$24),0))</f>
        <v>0</v>
      </c>
      <c r="AL97" s="126" t="s">
        <v>1398</v>
      </c>
      <c r="AM97" s="126" t="str">
        <f t="shared" si="16"/>
        <v>Taxpayer Assd Sales Tax Accrual (313-99)</v>
      </c>
    </row>
    <row r="98" spans="33:39" x14ac:dyDescent="0.25">
      <c r="AG98" s="126">
        <v>97</v>
      </c>
      <c r="AH98" s="126" t="s">
        <v>1396</v>
      </c>
      <c r="AI98" s="128">
        <f t="shared" si="14"/>
        <v>40909</v>
      </c>
      <c r="AJ98" s="126">
        <f t="shared" si="15"/>
        <v>0</v>
      </c>
      <c r="AK98" s="126">
        <f t="array" ref="AK98">INDEX($P$3:$P$24,MATCH(AM98&amp;YEAR(AI98),$A$3:$A$24&amp;YEAR($B$3:$B$24),0))</f>
        <v>0</v>
      </c>
      <c r="AL98" s="126" t="s">
        <v>1398</v>
      </c>
      <c r="AM98" s="126" t="str">
        <f t="shared" si="16"/>
        <v>Intergovernment Revenue (330-**)</v>
      </c>
    </row>
    <row r="99" spans="33:39" x14ac:dyDescent="0.25">
      <c r="AG99" s="126">
        <v>98</v>
      </c>
      <c r="AH99" s="126" t="s">
        <v>1396</v>
      </c>
      <c r="AI99" s="128">
        <f t="shared" si="14"/>
        <v>40940</v>
      </c>
      <c r="AJ99" s="126">
        <f t="shared" si="15"/>
        <v>0</v>
      </c>
      <c r="AK99" s="126">
        <f t="array" ref="AK99">INDEX($P$3:$P$24,MATCH(AM99&amp;YEAR(AI99),$A$3:$A$24&amp;YEAR($B$3:$B$24),0))</f>
        <v>0</v>
      </c>
      <c r="AL99" s="126" t="s">
        <v>1398</v>
      </c>
      <c r="AM99" s="126" t="str">
        <f t="shared" si="16"/>
        <v>Intergovernment Revenue (330-**)</v>
      </c>
    </row>
    <row r="100" spans="33:39" x14ac:dyDescent="0.25">
      <c r="AG100" s="126">
        <v>99</v>
      </c>
      <c r="AH100" s="126" t="s">
        <v>1396</v>
      </c>
      <c r="AI100" s="128">
        <f t="shared" si="14"/>
        <v>40969</v>
      </c>
      <c r="AJ100" s="126">
        <f t="shared" si="15"/>
        <v>0</v>
      </c>
      <c r="AK100" s="126">
        <f t="array" ref="AK100">INDEX($P$3:$P$24,MATCH(AM100&amp;YEAR(AI100),$A$3:$A$24&amp;YEAR($B$3:$B$24),0))</f>
        <v>0</v>
      </c>
      <c r="AL100" s="126" t="s">
        <v>1398</v>
      </c>
      <c r="AM100" s="126" t="str">
        <f t="shared" si="16"/>
        <v>Intergovernment Revenue (330-**)</v>
      </c>
    </row>
    <row r="101" spans="33:39" x14ac:dyDescent="0.25">
      <c r="AG101" s="126">
        <v>100</v>
      </c>
      <c r="AH101" s="126" t="s">
        <v>1396</v>
      </c>
      <c r="AI101" s="128">
        <f t="shared" si="14"/>
        <v>41000</v>
      </c>
      <c r="AJ101" s="126">
        <f t="shared" si="15"/>
        <v>0</v>
      </c>
      <c r="AK101" s="126">
        <f t="array" ref="AK101">INDEX($P$3:$P$24,MATCH(AM101&amp;YEAR(AI101),$A$3:$A$24&amp;YEAR($B$3:$B$24),0))</f>
        <v>0</v>
      </c>
      <c r="AL101" s="126" t="s">
        <v>1398</v>
      </c>
      <c r="AM101" s="126" t="str">
        <f t="shared" si="16"/>
        <v>Intergovernment Revenue (330-**)</v>
      </c>
    </row>
    <row r="102" spans="33:39" x14ac:dyDescent="0.25">
      <c r="AG102" s="126">
        <v>101</v>
      </c>
      <c r="AH102" s="126" t="s">
        <v>1396</v>
      </c>
      <c r="AI102" s="128">
        <f t="shared" si="14"/>
        <v>41030</v>
      </c>
      <c r="AJ102" s="126">
        <f t="shared" si="15"/>
        <v>0</v>
      </c>
      <c r="AK102" s="126">
        <f t="array" ref="AK102">INDEX($P$3:$P$24,MATCH(AM102&amp;YEAR(AI102),$A$3:$A$24&amp;YEAR($B$3:$B$24),0))</f>
        <v>0</v>
      </c>
      <c r="AL102" s="126" t="s">
        <v>1398</v>
      </c>
      <c r="AM102" s="126" t="str">
        <f t="shared" si="16"/>
        <v>Intergovernment Revenue (330-**)</v>
      </c>
    </row>
    <row r="103" spans="33:39" x14ac:dyDescent="0.25">
      <c r="AG103" s="126">
        <v>102</v>
      </c>
      <c r="AH103" s="126" t="s">
        <v>1396</v>
      </c>
      <c r="AI103" s="128">
        <f t="shared" si="14"/>
        <v>41061</v>
      </c>
      <c r="AJ103" s="126">
        <f t="shared" si="15"/>
        <v>0</v>
      </c>
      <c r="AK103" s="126">
        <f t="array" ref="AK103">INDEX($P$3:$P$24,MATCH(AM103&amp;YEAR(AI103),$A$3:$A$24&amp;YEAR($B$3:$B$24),0))</f>
        <v>0</v>
      </c>
      <c r="AL103" s="126" t="s">
        <v>1398</v>
      </c>
      <c r="AM103" s="126" t="str">
        <f t="shared" si="16"/>
        <v>Intergovernment Revenue (330-**)</v>
      </c>
    </row>
    <row r="104" spans="33:39" x14ac:dyDescent="0.25">
      <c r="AG104" s="126">
        <v>103</v>
      </c>
      <c r="AH104" s="126" t="s">
        <v>1396</v>
      </c>
      <c r="AI104" s="128">
        <f t="shared" si="14"/>
        <v>41091</v>
      </c>
      <c r="AJ104" s="126">
        <f t="shared" si="15"/>
        <v>0</v>
      </c>
      <c r="AK104" s="126">
        <f t="array" ref="AK104">INDEX($P$3:$P$24,MATCH(AM104&amp;YEAR(AI104),$A$3:$A$24&amp;YEAR($B$3:$B$24),0))</f>
        <v>0</v>
      </c>
      <c r="AL104" s="126" t="s">
        <v>1398</v>
      </c>
      <c r="AM104" s="126" t="str">
        <f t="shared" si="16"/>
        <v>Intergovernment Revenue (330-**)</v>
      </c>
    </row>
    <row r="105" spans="33:39" x14ac:dyDescent="0.25">
      <c r="AG105" s="126">
        <v>104</v>
      </c>
      <c r="AH105" s="126" t="s">
        <v>1396</v>
      </c>
      <c r="AI105" s="128">
        <f t="shared" si="14"/>
        <v>41122</v>
      </c>
      <c r="AJ105" s="126">
        <f t="shared" si="15"/>
        <v>0</v>
      </c>
      <c r="AK105" s="126">
        <f t="array" ref="AK105">INDEX($P$3:$P$24,MATCH(AM105&amp;YEAR(AI105),$A$3:$A$24&amp;YEAR($B$3:$B$24),0))</f>
        <v>0</v>
      </c>
      <c r="AL105" s="126" t="s">
        <v>1398</v>
      </c>
      <c r="AM105" s="126" t="str">
        <f t="shared" si="16"/>
        <v>Intergovernment Revenue (330-**)</v>
      </c>
    </row>
    <row r="106" spans="33:39" x14ac:dyDescent="0.25">
      <c r="AG106" s="126">
        <v>105</v>
      </c>
      <c r="AH106" s="126" t="s">
        <v>1396</v>
      </c>
      <c r="AI106" s="128">
        <f t="shared" si="14"/>
        <v>41153</v>
      </c>
      <c r="AJ106" s="126">
        <f t="shared" si="15"/>
        <v>0</v>
      </c>
      <c r="AK106" s="126">
        <f t="array" ref="AK106">INDEX($P$3:$P$24,MATCH(AM106&amp;YEAR(AI106),$A$3:$A$24&amp;YEAR($B$3:$B$24),0))</f>
        <v>0</v>
      </c>
      <c r="AL106" s="126" t="s">
        <v>1398</v>
      </c>
      <c r="AM106" s="126" t="str">
        <f t="shared" si="16"/>
        <v>Intergovernment Revenue (330-**)</v>
      </c>
    </row>
    <row r="107" spans="33:39" x14ac:dyDescent="0.25">
      <c r="AG107" s="126">
        <v>106</v>
      </c>
      <c r="AH107" s="126" t="s">
        <v>1396</v>
      </c>
      <c r="AI107" s="128">
        <f t="shared" si="14"/>
        <v>41183</v>
      </c>
      <c r="AJ107" s="126">
        <f t="shared" si="15"/>
        <v>0</v>
      </c>
      <c r="AK107" s="126">
        <f t="array" ref="AK107">INDEX($P$3:$P$24,MATCH(AM107&amp;YEAR(AI107),$A$3:$A$24&amp;YEAR($B$3:$B$24),0))</f>
        <v>0</v>
      </c>
      <c r="AL107" s="126" t="s">
        <v>1398</v>
      </c>
      <c r="AM107" s="126" t="str">
        <f t="shared" si="16"/>
        <v>Intergovernment Revenue (330-**)</v>
      </c>
    </row>
    <row r="108" spans="33:39" x14ac:dyDescent="0.25">
      <c r="AG108" s="126">
        <v>107</v>
      </c>
      <c r="AH108" s="126" t="s">
        <v>1396</v>
      </c>
      <c r="AI108" s="128">
        <f t="shared" si="14"/>
        <v>41214</v>
      </c>
      <c r="AJ108" s="126">
        <f t="shared" si="15"/>
        <v>0</v>
      </c>
      <c r="AK108" s="126">
        <f t="array" ref="AK108">INDEX($P$3:$P$24,MATCH(AM108&amp;YEAR(AI108),$A$3:$A$24&amp;YEAR($B$3:$B$24),0))</f>
        <v>0</v>
      </c>
      <c r="AL108" s="126" t="s">
        <v>1398</v>
      </c>
      <c r="AM108" s="126" t="str">
        <f t="shared" si="16"/>
        <v>Intergovernment Revenue (330-**)</v>
      </c>
    </row>
    <row r="109" spans="33:39" x14ac:dyDescent="0.25">
      <c r="AG109" s="126">
        <v>108</v>
      </c>
      <c r="AH109" s="126" t="s">
        <v>1396</v>
      </c>
      <c r="AI109" s="128">
        <f t="shared" si="14"/>
        <v>41244</v>
      </c>
      <c r="AJ109" s="126">
        <f t="shared" si="15"/>
        <v>0</v>
      </c>
      <c r="AK109" s="126">
        <f t="array" ref="AK109">INDEX($P$3:$P$24,MATCH(AM109&amp;YEAR(AI109),$A$3:$A$24&amp;YEAR($B$3:$B$24),0))</f>
        <v>0</v>
      </c>
      <c r="AL109" s="126" t="s">
        <v>1398</v>
      </c>
      <c r="AM109" s="126" t="str">
        <f t="shared" si="16"/>
        <v>Intergovernment Revenue (330-**)</v>
      </c>
    </row>
    <row r="110" spans="33:39" x14ac:dyDescent="0.25">
      <c r="AG110" s="126">
        <v>109</v>
      </c>
      <c r="AH110" s="126" t="s">
        <v>1396</v>
      </c>
      <c r="AI110" s="128">
        <f t="shared" si="14"/>
        <v>41275</v>
      </c>
      <c r="AJ110" s="126">
        <f t="shared" si="15"/>
        <v>0</v>
      </c>
      <c r="AK110" s="126">
        <f t="array" ref="AK110">INDEX($P$3:$P$24,MATCH(AM110&amp;YEAR(AI110),$A$3:$A$24&amp;YEAR($B$3:$B$24),0))</f>
        <v>0</v>
      </c>
      <c r="AL110" s="126" t="s">
        <v>1398</v>
      </c>
      <c r="AM110" s="126" t="str">
        <f t="shared" si="16"/>
        <v>Intergovernment Revenue (330-**)</v>
      </c>
    </row>
    <row r="111" spans="33:39" x14ac:dyDescent="0.25">
      <c r="AG111" s="126">
        <v>110</v>
      </c>
      <c r="AH111" s="126" t="s">
        <v>1396</v>
      </c>
      <c r="AI111" s="128">
        <f t="shared" si="14"/>
        <v>41306</v>
      </c>
      <c r="AJ111" s="126">
        <f t="shared" si="15"/>
        <v>0</v>
      </c>
      <c r="AK111" s="126">
        <f t="array" ref="AK111">INDEX($P$3:$P$24,MATCH(AM111&amp;YEAR(AI111),$A$3:$A$24&amp;YEAR($B$3:$B$24),0))</f>
        <v>0</v>
      </c>
      <c r="AL111" s="126" t="s">
        <v>1398</v>
      </c>
      <c r="AM111" s="126" t="str">
        <f t="shared" si="16"/>
        <v>Intergovernment Revenue (330-**)</v>
      </c>
    </row>
    <row r="112" spans="33:39" x14ac:dyDescent="0.25">
      <c r="AG112" s="126">
        <v>111</v>
      </c>
      <c r="AH112" s="126" t="s">
        <v>1396</v>
      </c>
      <c r="AI112" s="128">
        <f t="shared" si="14"/>
        <v>41334</v>
      </c>
      <c r="AJ112" s="126">
        <f t="shared" si="15"/>
        <v>0</v>
      </c>
      <c r="AK112" s="126">
        <f t="array" ref="AK112">INDEX($P$3:$P$24,MATCH(AM112&amp;YEAR(AI112),$A$3:$A$24&amp;YEAR($B$3:$B$24),0))</f>
        <v>0</v>
      </c>
      <c r="AL112" s="126" t="s">
        <v>1398</v>
      </c>
      <c r="AM112" s="126" t="str">
        <f t="shared" si="16"/>
        <v>Intergovernment Revenue (330-**)</v>
      </c>
    </row>
    <row r="113" spans="33:39" x14ac:dyDescent="0.25">
      <c r="AG113" s="126">
        <v>112</v>
      </c>
      <c r="AH113" s="126" t="s">
        <v>1396</v>
      </c>
      <c r="AI113" s="128">
        <f t="shared" si="14"/>
        <v>41365</v>
      </c>
      <c r="AJ113" s="126">
        <f t="shared" si="15"/>
        <v>0</v>
      </c>
      <c r="AK113" s="126">
        <f t="array" ref="AK113">INDEX($P$3:$P$24,MATCH(AM113&amp;YEAR(AI113),$A$3:$A$24&amp;YEAR($B$3:$B$24),0))</f>
        <v>0</v>
      </c>
      <c r="AL113" s="126" t="s">
        <v>1398</v>
      </c>
      <c r="AM113" s="126" t="str">
        <f t="shared" si="16"/>
        <v>Intergovernment Revenue (330-**)</v>
      </c>
    </row>
    <row r="114" spans="33:39" x14ac:dyDescent="0.25">
      <c r="AG114" s="126">
        <v>113</v>
      </c>
      <c r="AH114" s="126" t="s">
        <v>1396</v>
      </c>
      <c r="AI114" s="128">
        <f t="shared" si="14"/>
        <v>41395</v>
      </c>
      <c r="AJ114" s="126">
        <f t="shared" si="15"/>
        <v>0</v>
      </c>
      <c r="AK114" s="126">
        <f t="array" ref="AK114">INDEX($P$3:$P$24,MATCH(AM114&amp;YEAR(AI114),$A$3:$A$24&amp;YEAR($B$3:$B$24),0))</f>
        <v>0</v>
      </c>
      <c r="AL114" s="126" t="s">
        <v>1398</v>
      </c>
      <c r="AM114" s="126" t="str">
        <f t="shared" si="16"/>
        <v>Intergovernment Revenue (330-**)</v>
      </c>
    </row>
    <row r="115" spans="33:39" x14ac:dyDescent="0.25">
      <c r="AG115" s="126">
        <v>114</v>
      </c>
      <c r="AH115" s="126" t="s">
        <v>1396</v>
      </c>
      <c r="AI115" s="128">
        <f t="shared" si="14"/>
        <v>41426</v>
      </c>
      <c r="AJ115" s="126">
        <f t="shared" si="15"/>
        <v>0</v>
      </c>
      <c r="AK115" s="126">
        <f t="array" ref="AK115">INDEX($P$3:$P$24,MATCH(AM115&amp;YEAR(AI115),$A$3:$A$24&amp;YEAR($B$3:$B$24),0))</f>
        <v>0</v>
      </c>
      <c r="AL115" s="126" t="s">
        <v>1398</v>
      </c>
      <c r="AM115" s="126" t="str">
        <f t="shared" si="16"/>
        <v>Intergovernment Revenue (330-**)</v>
      </c>
    </row>
    <row r="116" spans="33:39" x14ac:dyDescent="0.25">
      <c r="AG116" s="126">
        <v>115</v>
      </c>
      <c r="AH116" s="126" t="s">
        <v>1396</v>
      </c>
      <c r="AI116" s="128">
        <f t="shared" si="14"/>
        <v>41456</v>
      </c>
      <c r="AJ116" s="126">
        <f t="shared" si="15"/>
        <v>0</v>
      </c>
      <c r="AK116" s="126">
        <f t="array" ref="AK116">INDEX($P$3:$P$24,MATCH(AM116&amp;YEAR(AI116),$A$3:$A$24&amp;YEAR($B$3:$B$24),0))</f>
        <v>0</v>
      </c>
      <c r="AL116" s="126" t="s">
        <v>1398</v>
      </c>
      <c r="AM116" s="126" t="str">
        <f t="shared" si="16"/>
        <v>Intergovernment Revenue (330-**)</v>
      </c>
    </row>
    <row r="117" spans="33:39" x14ac:dyDescent="0.25">
      <c r="AG117" s="126">
        <v>116</v>
      </c>
      <c r="AH117" s="126" t="s">
        <v>1396</v>
      </c>
      <c r="AI117" s="128">
        <f t="shared" si="14"/>
        <v>41487</v>
      </c>
      <c r="AJ117" s="126">
        <f t="shared" si="15"/>
        <v>0</v>
      </c>
      <c r="AK117" s="126">
        <f t="array" ref="AK117">INDEX($P$3:$P$24,MATCH(AM117&amp;YEAR(AI117),$A$3:$A$24&amp;YEAR($B$3:$B$24),0))</f>
        <v>0</v>
      </c>
      <c r="AL117" s="126" t="s">
        <v>1398</v>
      </c>
      <c r="AM117" s="126" t="str">
        <f t="shared" si="16"/>
        <v>Intergovernment Revenue (330-**)</v>
      </c>
    </row>
    <row r="118" spans="33:39" x14ac:dyDescent="0.25">
      <c r="AG118" s="126">
        <v>117</v>
      </c>
      <c r="AH118" s="126" t="s">
        <v>1396</v>
      </c>
      <c r="AI118" s="128">
        <f t="shared" si="14"/>
        <v>41518</v>
      </c>
      <c r="AJ118" s="126">
        <f t="shared" si="15"/>
        <v>0</v>
      </c>
      <c r="AK118" s="126">
        <f t="array" ref="AK118">INDEX($P$3:$P$24,MATCH(AM118&amp;YEAR(AI118),$A$3:$A$24&amp;YEAR($B$3:$B$24),0))</f>
        <v>0</v>
      </c>
      <c r="AL118" s="126" t="s">
        <v>1398</v>
      </c>
      <c r="AM118" s="126" t="str">
        <f t="shared" si="16"/>
        <v>Intergovernment Revenue (330-**)</v>
      </c>
    </row>
    <row r="119" spans="33:39" x14ac:dyDescent="0.25">
      <c r="AG119" s="126">
        <v>118</v>
      </c>
      <c r="AH119" s="126" t="s">
        <v>1396</v>
      </c>
      <c r="AI119" s="128">
        <f t="shared" si="14"/>
        <v>41548</v>
      </c>
      <c r="AJ119" s="126">
        <f t="shared" si="15"/>
        <v>0</v>
      </c>
      <c r="AK119" s="126">
        <f t="array" ref="AK119">INDEX($P$3:$P$24,MATCH(AM119&amp;YEAR(AI119),$A$3:$A$24&amp;YEAR($B$3:$B$24),0))</f>
        <v>0</v>
      </c>
      <c r="AL119" s="126" t="s">
        <v>1398</v>
      </c>
      <c r="AM119" s="126" t="str">
        <f t="shared" si="16"/>
        <v>Intergovernment Revenue (330-**)</v>
      </c>
    </row>
    <row r="120" spans="33:39" x14ac:dyDescent="0.25">
      <c r="AG120" s="126">
        <v>119</v>
      </c>
      <c r="AH120" s="126" t="s">
        <v>1396</v>
      </c>
      <c r="AI120" s="128">
        <f t="shared" si="14"/>
        <v>41579</v>
      </c>
      <c r="AJ120" s="126">
        <f t="shared" si="15"/>
        <v>0</v>
      </c>
      <c r="AK120" s="126">
        <f t="array" ref="AK120">INDEX($P$3:$P$24,MATCH(AM120&amp;YEAR(AI120),$A$3:$A$24&amp;YEAR($B$3:$B$24),0))</f>
        <v>0</v>
      </c>
      <c r="AL120" s="126" t="s">
        <v>1398</v>
      </c>
      <c r="AM120" s="126" t="str">
        <f t="shared" si="16"/>
        <v>Intergovernment Revenue (330-**)</v>
      </c>
    </row>
    <row r="121" spans="33:39" x14ac:dyDescent="0.25">
      <c r="AG121" s="126">
        <v>120</v>
      </c>
      <c r="AH121" s="126" t="s">
        <v>1396</v>
      </c>
      <c r="AI121" s="128">
        <f t="shared" si="14"/>
        <v>41609</v>
      </c>
      <c r="AJ121" s="126">
        <f t="shared" si="15"/>
        <v>0</v>
      </c>
      <c r="AK121" s="126">
        <f t="array" ref="AK121">INDEX($P$3:$P$24,MATCH(AM121&amp;YEAR(AI121),$A$3:$A$24&amp;YEAR($B$3:$B$24),0))</f>
        <v>0</v>
      </c>
      <c r="AL121" s="126" t="s">
        <v>1398</v>
      </c>
      <c r="AM121" s="126" t="str">
        <f t="shared" si="16"/>
        <v>Intergovernment Revenue (330-**)</v>
      </c>
    </row>
    <row r="122" spans="33:39" x14ac:dyDescent="0.25">
      <c r="AG122" s="126">
        <v>121</v>
      </c>
      <c r="AH122" s="126" t="s">
        <v>1396</v>
      </c>
      <c r="AI122" s="128">
        <f t="shared" si="14"/>
        <v>40909</v>
      </c>
      <c r="AJ122" s="126">
        <f t="shared" si="15"/>
        <v>0</v>
      </c>
      <c r="AK122" s="126">
        <f t="array" ref="AK122">INDEX($P$3:$P$24,MATCH(AM122&amp;YEAR(AI122),$A$3:$A$24&amp;YEAR($B$3:$B$24),0))</f>
        <v>0</v>
      </c>
      <c r="AL122" s="126" t="s">
        <v>1398</v>
      </c>
      <c r="AM122" s="126" t="str">
        <f t="shared" si="16"/>
        <v>Misc Revenue (360-10)</v>
      </c>
    </row>
    <row r="123" spans="33:39" x14ac:dyDescent="0.25">
      <c r="AG123" s="126">
        <v>122</v>
      </c>
      <c r="AH123" s="126" t="s">
        <v>1396</v>
      </c>
      <c r="AI123" s="128">
        <f t="shared" si="14"/>
        <v>40940</v>
      </c>
      <c r="AJ123" s="126">
        <f t="shared" si="15"/>
        <v>0</v>
      </c>
      <c r="AK123" s="126">
        <f t="array" ref="AK123">INDEX($P$3:$P$24,MATCH(AM123&amp;YEAR(AI123),$A$3:$A$24&amp;YEAR($B$3:$B$24),0))</f>
        <v>0</v>
      </c>
      <c r="AL123" s="126" t="s">
        <v>1398</v>
      </c>
      <c r="AM123" s="126" t="str">
        <f t="shared" si="16"/>
        <v>Misc Revenue (360-10)</v>
      </c>
    </row>
    <row r="124" spans="33:39" x14ac:dyDescent="0.25">
      <c r="AG124" s="126">
        <v>123</v>
      </c>
      <c r="AH124" s="126" t="s">
        <v>1396</v>
      </c>
      <c r="AI124" s="128">
        <f t="shared" si="14"/>
        <v>40969</v>
      </c>
      <c r="AJ124" s="126">
        <f t="shared" si="15"/>
        <v>0</v>
      </c>
      <c r="AK124" s="126">
        <f t="array" ref="AK124">INDEX($P$3:$P$24,MATCH(AM124&amp;YEAR(AI124),$A$3:$A$24&amp;YEAR($B$3:$B$24),0))</f>
        <v>0</v>
      </c>
      <c r="AL124" s="126" t="s">
        <v>1398</v>
      </c>
      <c r="AM124" s="126" t="str">
        <f t="shared" si="16"/>
        <v>Misc Revenue (360-10)</v>
      </c>
    </row>
    <row r="125" spans="33:39" x14ac:dyDescent="0.25">
      <c r="AG125" s="126">
        <v>124</v>
      </c>
      <c r="AH125" s="126" t="s">
        <v>1396</v>
      </c>
      <c r="AI125" s="128">
        <f t="shared" si="14"/>
        <v>41000</v>
      </c>
      <c r="AJ125" s="126">
        <f t="shared" si="15"/>
        <v>0</v>
      </c>
      <c r="AK125" s="126">
        <f t="array" ref="AK125">INDEX($P$3:$P$24,MATCH(AM125&amp;YEAR(AI125),$A$3:$A$24&amp;YEAR($B$3:$B$24),0))</f>
        <v>0</v>
      </c>
      <c r="AL125" s="126" t="s">
        <v>1398</v>
      </c>
      <c r="AM125" s="126" t="str">
        <f t="shared" si="16"/>
        <v>Misc Revenue (360-10)</v>
      </c>
    </row>
    <row r="126" spans="33:39" x14ac:dyDescent="0.25">
      <c r="AG126" s="126">
        <v>125</v>
      </c>
      <c r="AH126" s="126" t="s">
        <v>1396</v>
      </c>
      <c r="AI126" s="128">
        <f t="shared" si="14"/>
        <v>41030</v>
      </c>
      <c r="AJ126" s="126">
        <f t="shared" si="15"/>
        <v>0</v>
      </c>
      <c r="AK126" s="126">
        <f t="array" ref="AK126">INDEX($P$3:$P$24,MATCH(AM126&amp;YEAR(AI126),$A$3:$A$24&amp;YEAR($B$3:$B$24),0))</f>
        <v>0</v>
      </c>
      <c r="AL126" s="126" t="s">
        <v>1398</v>
      </c>
      <c r="AM126" s="126" t="str">
        <f t="shared" si="16"/>
        <v>Misc Revenue (360-10)</v>
      </c>
    </row>
    <row r="127" spans="33:39" x14ac:dyDescent="0.25">
      <c r="AG127" s="126">
        <v>126</v>
      </c>
      <c r="AH127" s="126" t="s">
        <v>1396</v>
      </c>
      <c r="AI127" s="128">
        <f t="shared" si="14"/>
        <v>41061</v>
      </c>
      <c r="AJ127" s="126">
        <f t="shared" si="15"/>
        <v>0</v>
      </c>
      <c r="AK127" s="126">
        <f t="array" ref="AK127">INDEX($P$3:$P$24,MATCH(AM127&amp;YEAR(AI127),$A$3:$A$24&amp;YEAR($B$3:$B$24),0))</f>
        <v>0</v>
      </c>
      <c r="AL127" s="126" t="s">
        <v>1398</v>
      </c>
      <c r="AM127" s="126" t="str">
        <f t="shared" si="16"/>
        <v>Misc Revenue (360-10)</v>
      </c>
    </row>
    <row r="128" spans="33:39" x14ac:dyDescent="0.25">
      <c r="AG128" s="126">
        <v>127</v>
      </c>
      <c r="AH128" s="126" t="s">
        <v>1396</v>
      </c>
      <c r="AI128" s="128">
        <f t="shared" si="14"/>
        <v>41091</v>
      </c>
      <c r="AJ128" s="126">
        <f t="shared" si="15"/>
        <v>0</v>
      </c>
      <c r="AK128" s="126">
        <f t="array" ref="AK128">INDEX($P$3:$P$24,MATCH(AM128&amp;YEAR(AI128),$A$3:$A$24&amp;YEAR($B$3:$B$24),0))</f>
        <v>0</v>
      </c>
      <c r="AL128" s="126" t="s">
        <v>1398</v>
      </c>
      <c r="AM128" s="126" t="str">
        <f t="shared" si="16"/>
        <v>Misc Revenue (360-10)</v>
      </c>
    </row>
    <row r="129" spans="33:39" x14ac:dyDescent="0.25">
      <c r="AG129" s="126">
        <v>128</v>
      </c>
      <c r="AH129" s="126" t="s">
        <v>1396</v>
      </c>
      <c r="AI129" s="128">
        <f t="shared" si="14"/>
        <v>41122</v>
      </c>
      <c r="AJ129" s="126">
        <f t="shared" si="15"/>
        <v>0</v>
      </c>
      <c r="AK129" s="126">
        <f t="array" ref="AK129">INDEX($P$3:$P$24,MATCH(AM129&amp;YEAR(AI129),$A$3:$A$24&amp;YEAR($B$3:$B$24),0))</f>
        <v>0</v>
      </c>
      <c r="AL129" s="126" t="s">
        <v>1398</v>
      </c>
      <c r="AM129" s="126" t="str">
        <f t="shared" si="16"/>
        <v>Misc Revenue (360-10)</v>
      </c>
    </row>
    <row r="130" spans="33:39" x14ac:dyDescent="0.25">
      <c r="AG130" s="126">
        <v>129</v>
      </c>
      <c r="AH130" s="126" t="s">
        <v>1396</v>
      </c>
      <c r="AI130" s="128">
        <f t="shared" ref="AI130:AI193" si="17">DATE(YEAR(INDEX($B$2:$N$24,INT((AG130+11)/12)+1,1)),IF(MOD(AG130,12)&lt;&gt;0,MOD(AG130,12),12),1)</f>
        <v>41153</v>
      </c>
      <c r="AJ130" s="126">
        <f t="shared" ref="AJ130:AJ193" si="18">INDEX($C$3:$N$24,INT((AG130+11)/12),AG130-(12*(INT((AG130+11)/12)-1)))</f>
        <v>0</v>
      </c>
      <c r="AK130" s="126">
        <f t="array" ref="AK130">INDEX($P$3:$P$24,MATCH(AM130&amp;YEAR(AI130),$A$3:$A$24&amp;YEAR($B$3:$B$24),0))</f>
        <v>0</v>
      </c>
      <c r="AL130" s="126" t="s">
        <v>1398</v>
      </c>
      <c r="AM130" s="126" t="str">
        <f t="shared" ref="AM130:AM193" si="19">INDEX($A$3:$A$24,INT((AG130+11)/12))</f>
        <v>Misc Revenue (360-10)</v>
      </c>
    </row>
    <row r="131" spans="33:39" x14ac:dyDescent="0.25">
      <c r="AG131" s="126">
        <v>130</v>
      </c>
      <c r="AH131" s="126" t="s">
        <v>1396</v>
      </c>
      <c r="AI131" s="128">
        <f t="shared" si="17"/>
        <v>41183</v>
      </c>
      <c r="AJ131" s="126">
        <f t="shared" si="18"/>
        <v>100</v>
      </c>
      <c r="AK131" s="126">
        <f t="array" ref="AK131">INDEX($P$3:$P$24,MATCH(AM131&amp;YEAR(AI131),$A$3:$A$24&amp;YEAR($B$3:$B$24),0))</f>
        <v>0</v>
      </c>
      <c r="AL131" s="126" t="s">
        <v>1398</v>
      </c>
      <c r="AM131" s="126" t="str">
        <f t="shared" si="19"/>
        <v>Misc Revenue (360-10)</v>
      </c>
    </row>
    <row r="132" spans="33:39" x14ac:dyDescent="0.25">
      <c r="AG132" s="126">
        <v>131</v>
      </c>
      <c r="AH132" s="126" t="s">
        <v>1396</v>
      </c>
      <c r="AI132" s="128">
        <f t="shared" si="17"/>
        <v>41214</v>
      </c>
      <c r="AJ132" s="126">
        <f t="shared" si="18"/>
        <v>0</v>
      </c>
      <c r="AK132" s="126">
        <f t="array" ref="AK132">INDEX($P$3:$P$24,MATCH(AM132&amp;YEAR(AI132),$A$3:$A$24&amp;YEAR($B$3:$B$24),0))</f>
        <v>0</v>
      </c>
      <c r="AL132" s="126" t="s">
        <v>1398</v>
      </c>
      <c r="AM132" s="126" t="str">
        <f t="shared" si="19"/>
        <v>Misc Revenue (360-10)</v>
      </c>
    </row>
    <row r="133" spans="33:39" x14ac:dyDescent="0.25">
      <c r="AG133" s="126">
        <v>132</v>
      </c>
      <c r="AH133" s="126" t="s">
        <v>1396</v>
      </c>
      <c r="AI133" s="128">
        <f t="shared" si="17"/>
        <v>41244</v>
      </c>
      <c r="AJ133" s="126">
        <f t="shared" si="18"/>
        <v>100</v>
      </c>
      <c r="AK133" s="126">
        <f t="array" ref="AK133">INDEX($P$3:$P$24,MATCH(AM133&amp;YEAR(AI133),$A$3:$A$24&amp;YEAR($B$3:$B$24),0))</f>
        <v>0</v>
      </c>
      <c r="AL133" s="126" t="s">
        <v>1398</v>
      </c>
      <c r="AM133" s="126" t="str">
        <f t="shared" si="19"/>
        <v>Misc Revenue (360-10)</v>
      </c>
    </row>
    <row r="134" spans="33:39" x14ac:dyDescent="0.25">
      <c r="AG134" s="126">
        <v>133</v>
      </c>
      <c r="AH134" s="126" t="s">
        <v>1396</v>
      </c>
      <c r="AI134" s="128">
        <f t="shared" si="17"/>
        <v>41275</v>
      </c>
      <c r="AJ134" s="126">
        <f t="shared" si="18"/>
        <v>0</v>
      </c>
      <c r="AK134" s="126">
        <f t="array" ref="AK134">INDEX($P$3:$P$24,MATCH(AM134&amp;YEAR(AI134),$A$3:$A$24&amp;YEAR($B$3:$B$24),0))</f>
        <v>2000</v>
      </c>
      <c r="AL134" s="126" t="s">
        <v>1398</v>
      </c>
      <c r="AM134" s="126" t="str">
        <f t="shared" si="19"/>
        <v>Misc Revenue (360-10)</v>
      </c>
    </row>
    <row r="135" spans="33:39" x14ac:dyDescent="0.25">
      <c r="AG135" s="126">
        <v>134</v>
      </c>
      <c r="AH135" s="126" t="s">
        <v>1396</v>
      </c>
      <c r="AI135" s="128">
        <f t="shared" si="17"/>
        <v>41306</v>
      </c>
      <c r="AJ135" s="126">
        <f t="shared" si="18"/>
        <v>0</v>
      </c>
      <c r="AK135" s="126">
        <f t="array" ref="AK135">INDEX($P$3:$P$24,MATCH(AM135&amp;YEAR(AI135),$A$3:$A$24&amp;YEAR($B$3:$B$24),0))</f>
        <v>2000</v>
      </c>
      <c r="AL135" s="126" t="s">
        <v>1398</v>
      </c>
      <c r="AM135" s="126" t="str">
        <f t="shared" si="19"/>
        <v>Misc Revenue (360-10)</v>
      </c>
    </row>
    <row r="136" spans="33:39" x14ac:dyDescent="0.25">
      <c r="AG136" s="126">
        <v>135</v>
      </c>
      <c r="AH136" s="126" t="s">
        <v>1396</v>
      </c>
      <c r="AI136" s="128">
        <f t="shared" si="17"/>
        <v>41334</v>
      </c>
      <c r="AJ136" s="126">
        <f t="shared" si="18"/>
        <v>0</v>
      </c>
      <c r="AK136" s="126">
        <f t="array" ref="AK136">INDEX($P$3:$P$24,MATCH(AM136&amp;YEAR(AI136),$A$3:$A$24&amp;YEAR($B$3:$B$24),0))</f>
        <v>2000</v>
      </c>
      <c r="AL136" s="126" t="s">
        <v>1398</v>
      </c>
      <c r="AM136" s="126" t="str">
        <f t="shared" si="19"/>
        <v>Misc Revenue (360-10)</v>
      </c>
    </row>
    <row r="137" spans="33:39" x14ac:dyDescent="0.25">
      <c r="AG137" s="126">
        <v>136</v>
      </c>
      <c r="AH137" s="126" t="s">
        <v>1396</v>
      </c>
      <c r="AI137" s="128">
        <f t="shared" si="17"/>
        <v>41365</v>
      </c>
      <c r="AJ137" s="126">
        <f t="shared" si="18"/>
        <v>0</v>
      </c>
      <c r="AK137" s="126">
        <f t="array" ref="AK137">INDEX($P$3:$P$24,MATCH(AM137&amp;YEAR(AI137),$A$3:$A$24&amp;YEAR($B$3:$B$24),0))</f>
        <v>2000</v>
      </c>
      <c r="AL137" s="126" t="s">
        <v>1398</v>
      </c>
      <c r="AM137" s="126" t="str">
        <f t="shared" si="19"/>
        <v>Misc Revenue (360-10)</v>
      </c>
    </row>
    <row r="138" spans="33:39" x14ac:dyDescent="0.25">
      <c r="AG138" s="126">
        <v>137</v>
      </c>
      <c r="AH138" s="126" t="s">
        <v>1396</v>
      </c>
      <c r="AI138" s="128">
        <f t="shared" si="17"/>
        <v>41395</v>
      </c>
      <c r="AJ138" s="126">
        <f t="shared" si="18"/>
        <v>0</v>
      </c>
      <c r="AK138" s="126">
        <f t="array" ref="AK138">INDEX($P$3:$P$24,MATCH(AM138&amp;YEAR(AI138),$A$3:$A$24&amp;YEAR($B$3:$B$24),0))</f>
        <v>2000</v>
      </c>
      <c r="AL138" s="126" t="s">
        <v>1398</v>
      </c>
      <c r="AM138" s="126" t="str">
        <f t="shared" si="19"/>
        <v>Misc Revenue (360-10)</v>
      </c>
    </row>
    <row r="139" spans="33:39" x14ac:dyDescent="0.25">
      <c r="AG139" s="126">
        <v>138</v>
      </c>
      <c r="AH139" s="126" t="s">
        <v>1396</v>
      </c>
      <c r="AI139" s="128">
        <f t="shared" si="17"/>
        <v>41426</v>
      </c>
      <c r="AJ139" s="126">
        <f t="shared" si="18"/>
        <v>0</v>
      </c>
      <c r="AK139" s="126">
        <f t="array" ref="AK139">INDEX($P$3:$P$24,MATCH(AM139&amp;YEAR(AI139),$A$3:$A$24&amp;YEAR($B$3:$B$24),0))</f>
        <v>2000</v>
      </c>
      <c r="AL139" s="126" t="s">
        <v>1398</v>
      </c>
      <c r="AM139" s="126" t="str">
        <f t="shared" si="19"/>
        <v>Misc Revenue (360-10)</v>
      </c>
    </row>
    <row r="140" spans="33:39" x14ac:dyDescent="0.25">
      <c r="AG140" s="126">
        <v>139</v>
      </c>
      <c r="AH140" s="126" t="s">
        <v>1396</v>
      </c>
      <c r="AI140" s="128">
        <f t="shared" si="17"/>
        <v>41456</v>
      </c>
      <c r="AJ140" s="126">
        <f t="shared" si="18"/>
        <v>0</v>
      </c>
      <c r="AK140" s="126">
        <f t="array" ref="AK140">INDEX($P$3:$P$24,MATCH(AM140&amp;YEAR(AI140),$A$3:$A$24&amp;YEAR($B$3:$B$24),0))</f>
        <v>2000</v>
      </c>
      <c r="AL140" s="126" t="s">
        <v>1398</v>
      </c>
      <c r="AM140" s="126" t="str">
        <f t="shared" si="19"/>
        <v>Misc Revenue (360-10)</v>
      </c>
    </row>
    <row r="141" spans="33:39" x14ac:dyDescent="0.25">
      <c r="AG141" s="126">
        <v>140</v>
      </c>
      <c r="AH141" s="126" t="s">
        <v>1396</v>
      </c>
      <c r="AI141" s="128">
        <f t="shared" si="17"/>
        <v>41487</v>
      </c>
      <c r="AJ141" s="126">
        <f t="shared" si="18"/>
        <v>0</v>
      </c>
      <c r="AK141" s="126">
        <f t="array" ref="AK141">INDEX($P$3:$P$24,MATCH(AM141&amp;YEAR(AI141),$A$3:$A$24&amp;YEAR($B$3:$B$24),0))</f>
        <v>2000</v>
      </c>
      <c r="AL141" s="126" t="s">
        <v>1398</v>
      </c>
      <c r="AM141" s="126" t="str">
        <f t="shared" si="19"/>
        <v>Misc Revenue (360-10)</v>
      </c>
    </row>
    <row r="142" spans="33:39" x14ac:dyDescent="0.25">
      <c r="AG142" s="126">
        <v>141</v>
      </c>
      <c r="AH142" s="126" t="s">
        <v>1396</v>
      </c>
      <c r="AI142" s="128">
        <f t="shared" si="17"/>
        <v>41518</v>
      </c>
      <c r="AJ142" s="126">
        <f t="shared" si="18"/>
        <v>0</v>
      </c>
      <c r="AK142" s="126">
        <f t="array" ref="AK142">INDEX($P$3:$P$24,MATCH(AM142&amp;YEAR(AI142),$A$3:$A$24&amp;YEAR($B$3:$B$24),0))</f>
        <v>2000</v>
      </c>
      <c r="AL142" s="126" t="s">
        <v>1398</v>
      </c>
      <c r="AM142" s="126" t="str">
        <f t="shared" si="19"/>
        <v>Misc Revenue (360-10)</v>
      </c>
    </row>
    <row r="143" spans="33:39" x14ac:dyDescent="0.25">
      <c r="AG143" s="126">
        <v>142</v>
      </c>
      <c r="AH143" s="126" t="s">
        <v>1396</v>
      </c>
      <c r="AI143" s="128">
        <f t="shared" si="17"/>
        <v>41548</v>
      </c>
      <c r="AJ143" s="126">
        <f t="shared" si="18"/>
        <v>0</v>
      </c>
      <c r="AK143" s="126">
        <f t="array" ref="AK143">INDEX($P$3:$P$24,MATCH(AM143&amp;YEAR(AI143),$A$3:$A$24&amp;YEAR($B$3:$B$24),0))</f>
        <v>2000</v>
      </c>
      <c r="AL143" s="126" t="s">
        <v>1398</v>
      </c>
      <c r="AM143" s="126" t="str">
        <f t="shared" si="19"/>
        <v>Misc Revenue (360-10)</v>
      </c>
    </row>
    <row r="144" spans="33:39" x14ac:dyDescent="0.25">
      <c r="AG144" s="126">
        <v>143</v>
      </c>
      <c r="AH144" s="126" t="s">
        <v>1396</v>
      </c>
      <c r="AI144" s="128">
        <f t="shared" si="17"/>
        <v>41579</v>
      </c>
      <c r="AJ144" s="126">
        <f t="shared" si="18"/>
        <v>0</v>
      </c>
      <c r="AK144" s="126">
        <f t="array" ref="AK144">INDEX($P$3:$P$24,MATCH(AM144&amp;YEAR(AI144),$A$3:$A$24&amp;YEAR($B$3:$B$24),0))</f>
        <v>2000</v>
      </c>
      <c r="AL144" s="126" t="s">
        <v>1398</v>
      </c>
      <c r="AM144" s="126" t="str">
        <f t="shared" si="19"/>
        <v>Misc Revenue (360-10)</v>
      </c>
    </row>
    <row r="145" spans="33:39" x14ac:dyDescent="0.25">
      <c r="AG145" s="126">
        <v>144</v>
      </c>
      <c r="AH145" s="126" t="s">
        <v>1396</v>
      </c>
      <c r="AI145" s="128">
        <f t="shared" si="17"/>
        <v>41609</v>
      </c>
      <c r="AJ145" s="126">
        <f t="shared" si="18"/>
        <v>0</v>
      </c>
      <c r="AK145" s="126">
        <f t="array" ref="AK145">INDEX($P$3:$P$24,MATCH(AM145&amp;YEAR(AI145),$A$3:$A$24&amp;YEAR($B$3:$B$24),0))</f>
        <v>2000</v>
      </c>
      <c r="AL145" s="126" t="s">
        <v>1398</v>
      </c>
      <c r="AM145" s="126" t="str">
        <f t="shared" si="19"/>
        <v>Misc Revenue (360-10)</v>
      </c>
    </row>
    <row r="146" spans="33:39" x14ac:dyDescent="0.25">
      <c r="AG146" s="126">
        <v>145</v>
      </c>
      <c r="AH146" s="126" t="s">
        <v>1396</v>
      </c>
      <c r="AI146" s="128">
        <f t="shared" si="17"/>
        <v>40909</v>
      </c>
      <c r="AJ146" s="126">
        <f t="shared" si="18"/>
        <v>0</v>
      </c>
      <c r="AK146" s="126">
        <f t="array" ref="AK146">INDEX($P$3:$P$24,MATCH(AM146&amp;YEAR(AI146),$A$3:$A$24&amp;YEAR($B$3:$B$24),0))</f>
        <v>112500</v>
      </c>
      <c r="AL146" s="126" t="s">
        <v>1398</v>
      </c>
      <c r="AM146" s="126" t="str">
        <f t="shared" si="19"/>
        <v>Interest Income -Operating (361-20)</v>
      </c>
    </row>
    <row r="147" spans="33:39" x14ac:dyDescent="0.25">
      <c r="AG147" s="126">
        <v>146</v>
      </c>
      <c r="AH147" s="126" t="s">
        <v>1396</v>
      </c>
      <c r="AI147" s="128">
        <f t="shared" si="17"/>
        <v>40940</v>
      </c>
      <c r="AJ147" s="126">
        <f t="shared" si="18"/>
        <v>4901.91</v>
      </c>
      <c r="AK147" s="126">
        <f t="array" ref="AK147">INDEX($P$3:$P$24,MATCH(AM147&amp;YEAR(AI147),$A$3:$A$24&amp;YEAR($B$3:$B$24),0))</f>
        <v>112500</v>
      </c>
      <c r="AL147" s="126" t="s">
        <v>1398</v>
      </c>
      <c r="AM147" s="126" t="str">
        <f t="shared" si="19"/>
        <v>Interest Income -Operating (361-20)</v>
      </c>
    </row>
    <row r="148" spans="33:39" x14ac:dyDescent="0.25">
      <c r="AG148" s="126">
        <v>147</v>
      </c>
      <c r="AH148" s="126" t="s">
        <v>1396</v>
      </c>
      <c r="AI148" s="128">
        <f t="shared" si="17"/>
        <v>40969</v>
      </c>
      <c r="AJ148" s="126">
        <f t="shared" si="18"/>
        <v>5002.08</v>
      </c>
      <c r="AK148" s="126">
        <f t="array" ref="AK148">INDEX($P$3:$P$24,MATCH(AM148&amp;YEAR(AI148),$A$3:$A$24&amp;YEAR($B$3:$B$24),0))</f>
        <v>112500</v>
      </c>
      <c r="AL148" s="126" t="s">
        <v>1398</v>
      </c>
      <c r="AM148" s="126" t="str">
        <f t="shared" si="19"/>
        <v>Interest Income -Operating (361-20)</v>
      </c>
    </row>
    <row r="149" spans="33:39" x14ac:dyDescent="0.25">
      <c r="AG149" s="126">
        <v>148</v>
      </c>
      <c r="AH149" s="126" t="s">
        <v>1396</v>
      </c>
      <c r="AI149" s="128">
        <f t="shared" si="17"/>
        <v>41000</v>
      </c>
      <c r="AJ149" s="126">
        <f t="shared" si="18"/>
        <v>4657.3</v>
      </c>
      <c r="AK149" s="126">
        <f t="array" ref="AK149">INDEX($P$3:$P$24,MATCH(AM149&amp;YEAR(AI149),$A$3:$A$24&amp;YEAR($B$3:$B$24),0))</f>
        <v>112500</v>
      </c>
      <c r="AL149" s="126" t="s">
        <v>1398</v>
      </c>
      <c r="AM149" s="126" t="str">
        <f t="shared" si="19"/>
        <v>Interest Income -Operating (361-20)</v>
      </c>
    </row>
    <row r="150" spans="33:39" x14ac:dyDescent="0.25">
      <c r="AG150" s="126">
        <v>149</v>
      </c>
      <c r="AH150" s="126" t="s">
        <v>1396</v>
      </c>
      <c r="AI150" s="128">
        <f t="shared" si="17"/>
        <v>41030</v>
      </c>
      <c r="AJ150" s="126">
        <f t="shared" si="18"/>
        <v>4370.76</v>
      </c>
      <c r="AK150" s="126">
        <f t="array" ref="AK150">INDEX($P$3:$P$24,MATCH(AM150&amp;YEAR(AI150),$A$3:$A$24&amp;YEAR($B$3:$B$24),0))</f>
        <v>112500</v>
      </c>
      <c r="AL150" s="126" t="s">
        <v>1398</v>
      </c>
      <c r="AM150" s="126" t="str">
        <f t="shared" si="19"/>
        <v>Interest Income -Operating (361-20)</v>
      </c>
    </row>
    <row r="151" spans="33:39" x14ac:dyDescent="0.25">
      <c r="AG151" s="126">
        <v>150</v>
      </c>
      <c r="AH151" s="126" t="s">
        <v>1396</v>
      </c>
      <c r="AI151" s="128">
        <f t="shared" si="17"/>
        <v>41061</v>
      </c>
      <c r="AJ151" s="126">
        <f t="shared" si="18"/>
        <v>3646.47</v>
      </c>
      <c r="AK151" s="126">
        <f t="array" ref="AK151">INDEX($P$3:$P$24,MATCH(AM151&amp;YEAR(AI151),$A$3:$A$24&amp;YEAR($B$3:$B$24),0))</f>
        <v>112500</v>
      </c>
      <c r="AL151" s="126" t="s">
        <v>1398</v>
      </c>
      <c r="AM151" s="126" t="str">
        <f t="shared" si="19"/>
        <v>Interest Income -Operating (361-20)</v>
      </c>
    </row>
    <row r="152" spans="33:39" x14ac:dyDescent="0.25">
      <c r="AG152" s="126">
        <v>151</v>
      </c>
      <c r="AH152" s="126" t="s">
        <v>1396</v>
      </c>
      <c r="AI152" s="128">
        <f t="shared" si="17"/>
        <v>41091</v>
      </c>
      <c r="AJ152" s="126">
        <f t="shared" si="18"/>
        <v>3734.41</v>
      </c>
      <c r="AK152" s="126">
        <f t="array" ref="AK152">INDEX($P$3:$P$24,MATCH(AM152&amp;YEAR(AI152),$A$3:$A$24&amp;YEAR($B$3:$B$24),0))</f>
        <v>112500</v>
      </c>
      <c r="AL152" s="126" t="s">
        <v>1398</v>
      </c>
      <c r="AM152" s="126" t="str">
        <f t="shared" si="19"/>
        <v>Interest Income -Operating (361-20)</v>
      </c>
    </row>
    <row r="153" spans="33:39" x14ac:dyDescent="0.25">
      <c r="AG153" s="126">
        <v>152</v>
      </c>
      <c r="AH153" s="126" t="s">
        <v>1396</v>
      </c>
      <c r="AI153" s="128">
        <f t="shared" si="17"/>
        <v>41122</v>
      </c>
      <c r="AJ153" s="126">
        <f t="shared" si="18"/>
        <v>3645.49</v>
      </c>
      <c r="AK153" s="126">
        <f t="array" ref="AK153">INDEX($P$3:$P$24,MATCH(AM153&amp;YEAR(AI153),$A$3:$A$24&amp;YEAR($B$3:$B$24),0))</f>
        <v>112500</v>
      </c>
      <c r="AL153" s="126" t="s">
        <v>1398</v>
      </c>
      <c r="AM153" s="126" t="str">
        <f t="shared" si="19"/>
        <v>Interest Income -Operating (361-20)</v>
      </c>
    </row>
    <row r="154" spans="33:39" x14ac:dyDescent="0.25">
      <c r="AG154" s="126">
        <v>153</v>
      </c>
      <c r="AH154" s="126" t="s">
        <v>1396</v>
      </c>
      <c r="AI154" s="128">
        <f t="shared" si="17"/>
        <v>41153</v>
      </c>
      <c r="AJ154" s="126">
        <f t="shared" si="18"/>
        <v>3347.7</v>
      </c>
      <c r="AK154" s="126">
        <f t="array" ref="AK154">INDEX($P$3:$P$24,MATCH(AM154&amp;YEAR(AI154),$A$3:$A$24&amp;YEAR($B$3:$B$24),0))</f>
        <v>112500</v>
      </c>
      <c r="AL154" s="126" t="s">
        <v>1398</v>
      </c>
      <c r="AM154" s="126" t="str">
        <f t="shared" si="19"/>
        <v>Interest Income -Operating (361-20)</v>
      </c>
    </row>
    <row r="155" spans="33:39" x14ac:dyDescent="0.25">
      <c r="AG155" s="126">
        <v>154</v>
      </c>
      <c r="AH155" s="126" t="s">
        <v>1396</v>
      </c>
      <c r="AI155" s="128">
        <f t="shared" si="17"/>
        <v>41183</v>
      </c>
      <c r="AJ155" s="126">
        <f t="shared" si="18"/>
        <v>3148.14</v>
      </c>
      <c r="AK155" s="126">
        <f t="array" ref="AK155">INDEX($P$3:$P$24,MATCH(AM155&amp;YEAR(AI155),$A$3:$A$24&amp;YEAR($B$3:$B$24),0))</f>
        <v>112500</v>
      </c>
      <c r="AL155" s="126" t="s">
        <v>1398</v>
      </c>
      <c r="AM155" s="126" t="str">
        <f t="shared" si="19"/>
        <v>Interest Income -Operating (361-20)</v>
      </c>
    </row>
    <row r="156" spans="33:39" x14ac:dyDescent="0.25">
      <c r="AG156" s="126">
        <v>155</v>
      </c>
      <c r="AH156" s="126" t="s">
        <v>1396</v>
      </c>
      <c r="AI156" s="128">
        <f t="shared" si="17"/>
        <v>41214</v>
      </c>
      <c r="AJ156" s="126">
        <f t="shared" si="18"/>
        <v>2886.8</v>
      </c>
      <c r="AK156" s="126">
        <f t="array" ref="AK156">INDEX($P$3:$P$24,MATCH(AM156&amp;YEAR(AI156),$A$3:$A$24&amp;YEAR($B$3:$B$24),0))</f>
        <v>112500</v>
      </c>
      <c r="AL156" s="126" t="s">
        <v>1398</v>
      </c>
      <c r="AM156" s="126" t="str">
        <f t="shared" si="19"/>
        <v>Interest Income -Operating (361-20)</v>
      </c>
    </row>
    <row r="157" spans="33:39" x14ac:dyDescent="0.25">
      <c r="AG157" s="126">
        <v>156</v>
      </c>
      <c r="AH157" s="126" t="s">
        <v>1396</v>
      </c>
      <c r="AI157" s="128">
        <f t="shared" si="17"/>
        <v>41244</v>
      </c>
      <c r="AJ157" s="126">
        <f t="shared" si="18"/>
        <v>4183.1100000000006</v>
      </c>
      <c r="AK157" s="126">
        <f t="array" ref="AK157">INDEX($P$3:$P$24,MATCH(AM157&amp;YEAR(AI157),$A$3:$A$24&amp;YEAR($B$3:$B$24),0))</f>
        <v>112500</v>
      </c>
      <c r="AL157" s="126" t="s">
        <v>1398</v>
      </c>
      <c r="AM157" s="126" t="str">
        <f t="shared" si="19"/>
        <v>Interest Income -Operating (361-20)</v>
      </c>
    </row>
    <row r="158" spans="33:39" x14ac:dyDescent="0.25">
      <c r="AG158" s="126">
        <v>157</v>
      </c>
      <c r="AH158" s="126" t="s">
        <v>1396</v>
      </c>
      <c r="AI158" s="128">
        <f t="shared" si="17"/>
        <v>41275</v>
      </c>
      <c r="AJ158" s="126">
        <f t="shared" si="18"/>
        <v>0</v>
      </c>
      <c r="AK158" s="126">
        <f t="array" ref="AK158">INDEX($P$3:$P$24,MATCH(AM158&amp;YEAR(AI158),$A$3:$A$24&amp;YEAR($B$3:$B$24),0))</f>
        <v>116800</v>
      </c>
      <c r="AL158" s="126" t="s">
        <v>1398</v>
      </c>
      <c r="AM158" s="126" t="str">
        <f t="shared" si="19"/>
        <v>Interest Income -Operating (361-20)</v>
      </c>
    </row>
    <row r="159" spans="33:39" x14ac:dyDescent="0.25">
      <c r="AG159" s="126">
        <v>158</v>
      </c>
      <c r="AH159" s="126" t="s">
        <v>1396</v>
      </c>
      <c r="AI159" s="128">
        <f t="shared" si="17"/>
        <v>41306</v>
      </c>
      <c r="AJ159" s="126">
        <f t="shared" si="18"/>
        <v>1446.79</v>
      </c>
      <c r="AK159" s="126">
        <f t="array" ref="AK159">INDEX($P$3:$P$24,MATCH(AM159&amp;YEAR(AI159),$A$3:$A$24&amp;YEAR($B$3:$B$24),0))</f>
        <v>116800</v>
      </c>
      <c r="AL159" s="126" t="s">
        <v>1398</v>
      </c>
      <c r="AM159" s="126" t="str">
        <f t="shared" si="19"/>
        <v>Interest Income -Operating (361-20)</v>
      </c>
    </row>
    <row r="160" spans="33:39" x14ac:dyDescent="0.25">
      <c r="AG160" s="126">
        <v>159</v>
      </c>
      <c r="AH160" s="126" t="s">
        <v>1396</v>
      </c>
      <c r="AI160" s="128">
        <f t="shared" si="17"/>
        <v>41334</v>
      </c>
      <c r="AJ160" s="126">
        <f t="shared" si="18"/>
        <v>1079.8400000000001</v>
      </c>
      <c r="AK160" s="126">
        <f t="array" ref="AK160">INDEX($P$3:$P$24,MATCH(AM160&amp;YEAR(AI160),$A$3:$A$24&amp;YEAR($B$3:$B$24),0))</f>
        <v>116800</v>
      </c>
      <c r="AL160" s="126" t="s">
        <v>1398</v>
      </c>
      <c r="AM160" s="126" t="str">
        <f t="shared" si="19"/>
        <v>Interest Income -Operating (361-20)</v>
      </c>
    </row>
    <row r="161" spans="33:39" x14ac:dyDescent="0.25">
      <c r="AG161" s="126">
        <v>160</v>
      </c>
      <c r="AH161" s="126" t="s">
        <v>1396</v>
      </c>
      <c r="AI161" s="128">
        <f t="shared" si="17"/>
        <v>41365</v>
      </c>
      <c r="AJ161" s="126">
        <f t="shared" si="18"/>
        <v>1082.5700000000002</v>
      </c>
      <c r="AK161" s="126">
        <f t="array" ref="AK161">INDEX($P$3:$P$24,MATCH(AM161&amp;YEAR(AI161),$A$3:$A$24&amp;YEAR($B$3:$B$24),0))</f>
        <v>116800</v>
      </c>
      <c r="AL161" s="126" t="s">
        <v>1398</v>
      </c>
      <c r="AM161" s="126" t="str">
        <f t="shared" si="19"/>
        <v>Interest Income -Operating (361-20)</v>
      </c>
    </row>
    <row r="162" spans="33:39" x14ac:dyDescent="0.25">
      <c r="AG162" s="126">
        <v>161</v>
      </c>
      <c r="AH162" s="126" t="s">
        <v>1396</v>
      </c>
      <c r="AI162" s="128">
        <f t="shared" si="17"/>
        <v>41395</v>
      </c>
      <c r="AJ162" s="126">
        <f t="shared" si="18"/>
        <v>1062.55</v>
      </c>
      <c r="AK162" s="126">
        <f t="array" ref="AK162">INDEX($P$3:$P$24,MATCH(AM162&amp;YEAR(AI162),$A$3:$A$24&amp;YEAR($B$3:$B$24),0))</f>
        <v>116800</v>
      </c>
      <c r="AL162" s="126" t="s">
        <v>1398</v>
      </c>
      <c r="AM162" s="126" t="str">
        <f t="shared" si="19"/>
        <v>Interest Income -Operating (361-20)</v>
      </c>
    </row>
    <row r="163" spans="33:39" x14ac:dyDescent="0.25">
      <c r="AG163" s="126">
        <v>162</v>
      </c>
      <c r="AH163" s="126" t="s">
        <v>1396</v>
      </c>
      <c r="AI163" s="128">
        <f t="shared" si="17"/>
        <v>41426</v>
      </c>
      <c r="AJ163" s="126">
        <f t="shared" si="18"/>
        <v>0</v>
      </c>
      <c r="AK163" s="126">
        <f t="array" ref="AK163">INDEX($P$3:$P$24,MATCH(AM163&amp;YEAR(AI163),$A$3:$A$24&amp;YEAR($B$3:$B$24),0))</f>
        <v>116800</v>
      </c>
      <c r="AL163" s="126" t="s">
        <v>1398</v>
      </c>
      <c r="AM163" s="126" t="str">
        <f t="shared" si="19"/>
        <v>Interest Income -Operating (361-20)</v>
      </c>
    </row>
    <row r="164" spans="33:39" x14ac:dyDescent="0.25">
      <c r="AG164" s="126">
        <v>163</v>
      </c>
      <c r="AH164" s="126" t="s">
        <v>1396</v>
      </c>
      <c r="AI164" s="128">
        <f t="shared" si="17"/>
        <v>41456</v>
      </c>
      <c r="AJ164" s="126">
        <f t="shared" si="18"/>
        <v>0</v>
      </c>
      <c r="AK164" s="126">
        <f t="array" ref="AK164">INDEX($P$3:$P$24,MATCH(AM164&amp;YEAR(AI164),$A$3:$A$24&amp;YEAR($B$3:$B$24),0))</f>
        <v>116800</v>
      </c>
      <c r="AL164" s="126" t="s">
        <v>1398</v>
      </c>
      <c r="AM164" s="126" t="str">
        <f t="shared" si="19"/>
        <v>Interest Income -Operating (361-20)</v>
      </c>
    </row>
    <row r="165" spans="33:39" x14ac:dyDescent="0.25">
      <c r="AG165" s="126">
        <v>164</v>
      </c>
      <c r="AH165" s="126" t="s">
        <v>1396</v>
      </c>
      <c r="AI165" s="128">
        <f t="shared" si="17"/>
        <v>41487</v>
      </c>
      <c r="AJ165" s="126">
        <f t="shared" si="18"/>
        <v>0</v>
      </c>
      <c r="AK165" s="126">
        <f t="array" ref="AK165">INDEX($P$3:$P$24,MATCH(AM165&amp;YEAR(AI165),$A$3:$A$24&amp;YEAR($B$3:$B$24),0))</f>
        <v>116800</v>
      </c>
      <c r="AL165" s="126" t="s">
        <v>1398</v>
      </c>
      <c r="AM165" s="126" t="str">
        <f t="shared" si="19"/>
        <v>Interest Income -Operating (361-20)</v>
      </c>
    </row>
    <row r="166" spans="33:39" x14ac:dyDescent="0.25">
      <c r="AG166" s="126">
        <v>165</v>
      </c>
      <c r="AH166" s="126" t="s">
        <v>1396</v>
      </c>
      <c r="AI166" s="128">
        <f t="shared" si="17"/>
        <v>41518</v>
      </c>
      <c r="AJ166" s="126">
        <f t="shared" si="18"/>
        <v>0</v>
      </c>
      <c r="AK166" s="126">
        <f t="array" ref="AK166">INDEX($P$3:$P$24,MATCH(AM166&amp;YEAR(AI166),$A$3:$A$24&amp;YEAR($B$3:$B$24),0))</f>
        <v>116800</v>
      </c>
      <c r="AL166" s="126" t="s">
        <v>1398</v>
      </c>
      <c r="AM166" s="126" t="str">
        <f t="shared" si="19"/>
        <v>Interest Income -Operating (361-20)</v>
      </c>
    </row>
    <row r="167" spans="33:39" x14ac:dyDescent="0.25">
      <c r="AG167" s="126">
        <v>166</v>
      </c>
      <c r="AH167" s="126" t="s">
        <v>1396</v>
      </c>
      <c r="AI167" s="128">
        <f t="shared" si="17"/>
        <v>41548</v>
      </c>
      <c r="AJ167" s="126">
        <f t="shared" si="18"/>
        <v>0</v>
      </c>
      <c r="AK167" s="126">
        <f t="array" ref="AK167">INDEX($P$3:$P$24,MATCH(AM167&amp;YEAR(AI167),$A$3:$A$24&amp;YEAR($B$3:$B$24),0))</f>
        <v>116800</v>
      </c>
      <c r="AL167" s="126" t="s">
        <v>1398</v>
      </c>
      <c r="AM167" s="126" t="str">
        <f t="shared" si="19"/>
        <v>Interest Income -Operating (361-20)</v>
      </c>
    </row>
    <row r="168" spans="33:39" x14ac:dyDescent="0.25">
      <c r="AG168" s="126">
        <v>167</v>
      </c>
      <c r="AH168" s="126" t="s">
        <v>1396</v>
      </c>
      <c r="AI168" s="128">
        <f t="shared" si="17"/>
        <v>41579</v>
      </c>
      <c r="AJ168" s="126">
        <f t="shared" si="18"/>
        <v>0</v>
      </c>
      <c r="AK168" s="126">
        <f t="array" ref="AK168">INDEX($P$3:$P$24,MATCH(AM168&amp;YEAR(AI168),$A$3:$A$24&amp;YEAR($B$3:$B$24),0))</f>
        <v>116800</v>
      </c>
      <c r="AL168" s="126" t="s">
        <v>1398</v>
      </c>
      <c r="AM168" s="126" t="str">
        <f t="shared" si="19"/>
        <v>Interest Income -Operating (361-20)</v>
      </c>
    </row>
    <row r="169" spans="33:39" x14ac:dyDescent="0.25">
      <c r="AG169" s="126">
        <v>168</v>
      </c>
      <c r="AH169" s="126" t="s">
        <v>1396</v>
      </c>
      <c r="AI169" s="128">
        <f t="shared" si="17"/>
        <v>41609</v>
      </c>
      <c r="AJ169" s="126">
        <f t="shared" si="18"/>
        <v>0</v>
      </c>
      <c r="AK169" s="126">
        <f t="array" ref="AK169">INDEX($P$3:$P$24,MATCH(AM169&amp;YEAR(AI169),$A$3:$A$24&amp;YEAR($B$3:$B$24),0))</f>
        <v>116800</v>
      </c>
      <c r="AL169" s="126" t="s">
        <v>1398</v>
      </c>
      <c r="AM169" s="126" t="str">
        <f t="shared" si="19"/>
        <v>Interest Income -Operating (361-20)</v>
      </c>
    </row>
    <row r="170" spans="33:39" x14ac:dyDescent="0.25">
      <c r="AG170" s="126">
        <v>169</v>
      </c>
      <c r="AH170" s="126" t="s">
        <v>1396</v>
      </c>
      <c r="AI170" s="128">
        <f t="shared" si="17"/>
        <v>40909</v>
      </c>
      <c r="AJ170" s="126">
        <f t="shared" si="18"/>
        <v>0</v>
      </c>
      <c r="AK170" s="126">
        <f t="array" ref="AK170">INDEX($P$3:$P$24,MATCH(AM170&amp;YEAR(AI170),$A$3:$A$24&amp;YEAR($B$3:$B$24),0))</f>
        <v>0</v>
      </c>
      <c r="AL170" s="126" t="s">
        <v>1398</v>
      </c>
      <c r="AM170" s="126" t="str">
        <f t="shared" si="19"/>
        <v>Interest Income - 2010A Bonds (361-31)</v>
      </c>
    </row>
    <row r="171" spans="33:39" x14ac:dyDescent="0.25">
      <c r="AG171" s="126">
        <v>170</v>
      </c>
      <c r="AH171" s="126" t="s">
        <v>1396</v>
      </c>
      <c r="AI171" s="128">
        <f t="shared" si="17"/>
        <v>40940</v>
      </c>
      <c r="AJ171" s="126">
        <f t="shared" si="18"/>
        <v>0</v>
      </c>
      <c r="AK171" s="126">
        <f t="array" ref="AK171">INDEX($P$3:$P$24,MATCH(AM171&amp;YEAR(AI171),$A$3:$A$24&amp;YEAR($B$3:$B$24),0))</f>
        <v>0</v>
      </c>
      <c r="AL171" s="126" t="s">
        <v>1398</v>
      </c>
      <c r="AM171" s="126" t="str">
        <f t="shared" si="19"/>
        <v>Interest Income - 2010A Bonds (361-31)</v>
      </c>
    </row>
    <row r="172" spans="33:39" x14ac:dyDescent="0.25">
      <c r="AG172" s="126">
        <v>171</v>
      </c>
      <c r="AH172" s="126" t="s">
        <v>1396</v>
      </c>
      <c r="AI172" s="128">
        <f t="shared" si="17"/>
        <v>40969</v>
      </c>
      <c r="AJ172" s="126">
        <f t="shared" si="18"/>
        <v>0</v>
      </c>
      <c r="AK172" s="126">
        <f t="array" ref="AK172">INDEX($P$3:$P$24,MATCH(AM172&amp;YEAR(AI172),$A$3:$A$24&amp;YEAR($B$3:$B$24),0))</f>
        <v>0</v>
      </c>
      <c r="AL172" s="126" t="s">
        <v>1398</v>
      </c>
      <c r="AM172" s="126" t="str">
        <f t="shared" si="19"/>
        <v>Interest Income - 2010A Bonds (361-31)</v>
      </c>
    </row>
    <row r="173" spans="33:39" x14ac:dyDescent="0.25">
      <c r="AG173" s="126">
        <v>172</v>
      </c>
      <c r="AH173" s="126" t="s">
        <v>1396</v>
      </c>
      <c r="AI173" s="128">
        <f t="shared" si="17"/>
        <v>41000</v>
      </c>
      <c r="AJ173" s="126">
        <f t="shared" si="18"/>
        <v>0</v>
      </c>
      <c r="AK173" s="126">
        <f t="array" ref="AK173">INDEX($P$3:$P$24,MATCH(AM173&amp;YEAR(AI173),$A$3:$A$24&amp;YEAR($B$3:$B$24),0))</f>
        <v>0</v>
      </c>
      <c r="AL173" s="126" t="s">
        <v>1398</v>
      </c>
      <c r="AM173" s="126" t="str">
        <f t="shared" si="19"/>
        <v>Interest Income - 2010A Bonds (361-31)</v>
      </c>
    </row>
    <row r="174" spans="33:39" x14ac:dyDescent="0.25">
      <c r="AG174" s="126">
        <v>173</v>
      </c>
      <c r="AH174" s="126" t="s">
        <v>1396</v>
      </c>
      <c r="AI174" s="128">
        <f t="shared" si="17"/>
        <v>41030</v>
      </c>
      <c r="AJ174" s="126">
        <f t="shared" si="18"/>
        <v>0</v>
      </c>
      <c r="AK174" s="126">
        <f t="array" ref="AK174">INDEX($P$3:$P$24,MATCH(AM174&amp;YEAR(AI174),$A$3:$A$24&amp;YEAR($B$3:$B$24),0))</f>
        <v>0</v>
      </c>
      <c r="AL174" s="126" t="s">
        <v>1398</v>
      </c>
      <c r="AM174" s="126" t="str">
        <f t="shared" si="19"/>
        <v>Interest Income - 2010A Bonds (361-31)</v>
      </c>
    </row>
    <row r="175" spans="33:39" x14ac:dyDescent="0.25">
      <c r="AG175" s="126">
        <v>174</v>
      </c>
      <c r="AH175" s="126" t="s">
        <v>1396</v>
      </c>
      <c r="AI175" s="128">
        <f t="shared" si="17"/>
        <v>41061</v>
      </c>
      <c r="AJ175" s="126">
        <f t="shared" si="18"/>
        <v>0</v>
      </c>
      <c r="AK175" s="126">
        <f t="array" ref="AK175">INDEX($P$3:$P$24,MATCH(AM175&amp;YEAR(AI175),$A$3:$A$24&amp;YEAR($B$3:$B$24),0))</f>
        <v>0</v>
      </c>
      <c r="AL175" s="126" t="s">
        <v>1398</v>
      </c>
      <c r="AM175" s="126" t="str">
        <f t="shared" si="19"/>
        <v>Interest Income - 2010A Bonds (361-31)</v>
      </c>
    </row>
    <row r="176" spans="33:39" x14ac:dyDescent="0.25">
      <c r="AG176" s="126">
        <v>175</v>
      </c>
      <c r="AH176" s="126" t="s">
        <v>1396</v>
      </c>
      <c r="AI176" s="128">
        <f t="shared" si="17"/>
        <v>41091</v>
      </c>
      <c r="AJ176" s="126">
        <f t="shared" si="18"/>
        <v>0</v>
      </c>
      <c r="AK176" s="126">
        <f t="array" ref="AK176">INDEX($P$3:$P$24,MATCH(AM176&amp;YEAR(AI176),$A$3:$A$24&amp;YEAR($B$3:$B$24),0))</f>
        <v>0</v>
      </c>
      <c r="AL176" s="126" t="s">
        <v>1398</v>
      </c>
      <c r="AM176" s="126" t="str">
        <f t="shared" si="19"/>
        <v>Interest Income - 2010A Bonds (361-31)</v>
      </c>
    </row>
    <row r="177" spans="33:39" x14ac:dyDescent="0.25">
      <c r="AG177" s="126">
        <v>176</v>
      </c>
      <c r="AH177" s="126" t="s">
        <v>1396</v>
      </c>
      <c r="AI177" s="128">
        <f t="shared" si="17"/>
        <v>41122</v>
      </c>
      <c r="AJ177" s="126">
        <f t="shared" si="18"/>
        <v>0</v>
      </c>
      <c r="AK177" s="126">
        <f t="array" ref="AK177">INDEX($P$3:$P$24,MATCH(AM177&amp;YEAR(AI177),$A$3:$A$24&amp;YEAR($B$3:$B$24),0))</f>
        <v>0</v>
      </c>
      <c r="AL177" s="126" t="s">
        <v>1398</v>
      </c>
      <c r="AM177" s="126" t="str">
        <f t="shared" si="19"/>
        <v>Interest Income - 2010A Bonds (361-31)</v>
      </c>
    </row>
    <row r="178" spans="33:39" x14ac:dyDescent="0.25">
      <c r="AG178" s="126">
        <v>177</v>
      </c>
      <c r="AH178" s="126" t="s">
        <v>1396</v>
      </c>
      <c r="AI178" s="128">
        <f t="shared" si="17"/>
        <v>41153</v>
      </c>
      <c r="AJ178" s="126">
        <f t="shared" si="18"/>
        <v>0</v>
      </c>
      <c r="AK178" s="126">
        <f t="array" ref="AK178">INDEX($P$3:$P$24,MATCH(AM178&amp;YEAR(AI178),$A$3:$A$24&amp;YEAR($B$3:$B$24),0))</f>
        <v>0</v>
      </c>
      <c r="AL178" s="126" t="s">
        <v>1398</v>
      </c>
      <c r="AM178" s="126" t="str">
        <f t="shared" si="19"/>
        <v>Interest Income - 2010A Bonds (361-31)</v>
      </c>
    </row>
    <row r="179" spans="33:39" x14ac:dyDescent="0.25">
      <c r="AG179" s="126">
        <v>178</v>
      </c>
      <c r="AH179" s="126" t="s">
        <v>1396</v>
      </c>
      <c r="AI179" s="128">
        <f t="shared" si="17"/>
        <v>41183</v>
      </c>
      <c r="AJ179" s="126">
        <f t="shared" si="18"/>
        <v>0</v>
      </c>
      <c r="AK179" s="126">
        <f t="array" ref="AK179">INDEX($P$3:$P$24,MATCH(AM179&amp;YEAR(AI179),$A$3:$A$24&amp;YEAR($B$3:$B$24),0))</f>
        <v>0</v>
      </c>
      <c r="AL179" s="126" t="s">
        <v>1398</v>
      </c>
      <c r="AM179" s="126" t="str">
        <f t="shared" si="19"/>
        <v>Interest Income - 2010A Bonds (361-31)</v>
      </c>
    </row>
    <row r="180" spans="33:39" x14ac:dyDescent="0.25">
      <c r="AG180" s="126">
        <v>179</v>
      </c>
      <c r="AH180" s="126" t="s">
        <v>1396</v>
      </c>
      <c r="AI180" s="128">
        <f t="shared" si="17"/>
        <v>41214</v>
      </c>
      <c r="AJ180" s="126">
        <f t="shared" si="18"/>
        <v>3756.4</v>
      </c>
      <c r="AK180" s="126">
        <f t="array" ref="AK180">INDEX($P$3:$P$24,MATCH(AM180&amp;YEAR(AI180),$A$3:$A$24&amp;YEAR($B$3:$B$24),0))</f>
        <v>0</v>
      </c>
      <c r="AL180" s="126" t="s">
        <v>1398</v>
      </c>
      <c r="AM180" s="126" t="str">
        <f t="shared" si="19"/>
        <v>Interest Income - 2010A Bonds (361-31)</v>
      </c>
    </row>
    <row r="181" spans="33:39" x14ac:dyDescent="0.25">
      <c r="AG181" s="126">
        <v>180</v>
      </c>
      <c r="AH181" s="126" t="s">
        <v>1396</v>
      </c>
      <c r="AI181" s="128">
        <f t="shared" si="17"/>
        <v>41244</v>
      </c>
      <c r="AJ181" s="126">
        <f t="shared" si="18"/>
        <v>6274.4</v>
      </c>
      <c r="AK181" s="126">
        <f t="array" ref="AK181">INDEX($P$3:$P$24,MATCH(AM181&amp;YEAR(AI181),$A$3:$A$24&amp;YEAR($B$3:$B$24),0))</f>
        <v>0</v>
      </c>
      <c r="AL181" s="126" t="s">
        <v>1398</v>
      </c>
      <c r="AM181" s="126" t="str">
        <f t="shared" si="19"/>
        <v>Interest Income - 2010A Bonds (361-31)</v>
      </c>
    </row>
    <row r="182" spans="33:39" x14ac:dyDescent="0.25">
      <c r="AG182" s="126">
        <v>181</v>
      </c>
      <c r="AH182" s="126" t="s">
        <v>1396</v>
      </c>
      <c r="AI182" s="128">
        <f t="shared" si="17"/>
        <v>41275</v>
      </c>
      <c r="AJ182" s="126">
        <f t="shared" si="18"/>
        <v>0</v>
      </c>
      <c r="AK182" s="126">
        <f t="array" ref="AK182">INDEX($P$3:$P$24,MATCH(AM182&amp;YEAR(AI182),$A$3:$A$24&amp;YEAR($B$3:$B$24),0))</f>
        <v>0</v>
      </c>
      <c r="AL182" s="126" t="s">
        <v>1398</v>
      </c>
      <c r="AM182" s="126" t="str">
        <f t="shared" si="19"/>
        <v>Interest Income - 2010A Bonds (361-31)</v>
      </c>
    </row>
    <row r="183" spans="33:39" x14ac:dyDescent="0.25">
      <c r="AG183" s="126">
        <v>182</v>
      </c>
      <c r="AH183" s="126" t="s">
        <v>1396</v>
      </c>
      <c r="AI183" s="128">
        <f t="shared" si="17"/>
        <v>41306</v>
      </c>
      <c r="AJ183" s="126">
        <f t="shared" si="18"/>
        <v>0</v>
      </c>
      <c r="AK183" s="126">
        <f t="array" ref="AK183">INDEX($P$3:$P$24,MATCH(AM183&amp;YEAR(AI183),$A$3:$A$24&amp;YEAR($B$3:$B$24),0))</f>
        <v>0</v>
      </c>
      <c r="AL183" s="126" t="s">
        <v>1398</v>
      </c>
      <c r="AM183" s="126" t="str">
        <f t="shared" si="19"/>
        <v>Interest Income - 2010A Bonds (361-31)</v>
      </c>
    </row>
    <row r="184" spans="33:39" x14ac:dyDescent="0.25">
      <c r="AG184" s="126">
        <v>183</v>
      </c>
      <c r="AH184" s="126" t="s">
        <v>1396</v>
      </c>
      <c r="AI184" s="128">
        <f t="shared" si="17"/>
        <v>41334</v>
      </c>
      <c r="AJ184" s="126">
        <f t="shared" si="18"/>
        <v>165.78</v>
      </c>
      <c r="AK184" s="126">
        <f t="array" ref="AK184">INDEX($P$3:$P$24,MATCH(AM184&amp;YEAR(AI184),$A$3:$A$24&amp;YEAR($B$3:$B$24),0))</f>
        <v>0</v>
      </c>
      <c r="AL184" s="126" t="s">
        <v>1398</v>
      </c>
      <c r="AM184" s="126" t="str">
        <f t="shared" si="19"/>
        <v>Interest Income - 2010A Bonds (361-31)</v>
      </c>
    </row>
    <row r="185" spans="33:39" x14ac:dyDescent="0.25">
      <c r="AG185" s="126">
        <v>184</v>
      </c>
      <c r="AH185" s="126" t="s">
        <v>1396</v>
      </c>
      <c r="AI185" s="128">
        <f t="shared" si="17"/>
        <v>41365</v>
      </c>
      <c r="AJ185" s="126">
        <f t="shared" si="18"/>
        <v>174.95</v>
      </c>
      <c r="AK185" s="126">
        <f t="array" ref="AK185">INDEX($P$3:$P$24,MATCH(AM185&amp;YEAR(AI185),$A$3:$A$24&amp;YEAR($B$3:$B$24),0))</f>
        <v>0</v>
      </c>
      <c r="AL185" s="126" t="s">
        <v>1398</v>
      </c>
      <c r="AM185" s="126" t="str">
        <f t="shared" si="19"/>
        <v>Interest Income - 2010A Bonds (361-31)</v>
      </c>
    </row>
    <row r="186" spans="33:39" x14ac:dyDescent="0.25">
      <c r="AG186" s="126">
        <v>185</v>
      </c>
      <c r="AH186" s="126" t="s">
        <v>1396</v>
      </c>
      <c r="AI186" s="128">
        <f t="shared" si="17"/>
        <v>41395</v>
      </c>
      <c r="AJ186" s="126">
        <f t="shared" si="18"/>
        <v>161.86000000000001</v>
      </c>
      <c r="AK186" s="126">
        <f t="array" ref="AK186">INDEX($P$3:$P$24,MATCH(AM186&amp;YEAR(AI186),$A$3:$A$24&amp;YEAR($B$3:$B$24),0))</f>
        <v>0</v>
      </c>
      <c r="AL186" s="126" t="s">
        <v>1398</v>
      </c>
      <c r="AM186" s="126" t="str">
        <f t="shared" si="19"/>
        <v>Interest Income - 2010A Bonds (361-31)</v>
      </c>
    </row>
    <row r="187" spans="33:39" x14ac:dyDescent="0.25">
      <c r="AG187" s="126">
        <v>186</v>
      </c>
      <c r="AH187" s="126" t="s">
        <v>1396</v>
      </c>
      <c r="AI187" s="128">
        <f t="shared" si="17"/>
        <v>41426</v>
      </c>
      <c r="AJ187" s="126">
        <f t="shared" si="18"/>
        <v>0</v>
      </c>
      <c r="AK187" s="126">
        <f t="array" ref="AK187">INDEX($P$3:$P$24,MATCH(AM187&amp;YEAR(AI187),$A$3:$A$24&amp;YEAR($B$3:$B$24),0))</f>
        <v>0</v>
      </c>
      <c r="AL187" s="126" t="s">
        <v>1398</v>
      </c>
      <c r="AM187" s="126" t="str">
        <f t="shared" si="19"/>
        <v>Interest Income - 2010A Bonds (361-31)</v>
      </c>
    </row>
    <row r="188" spans="33:39" x14ac:dyDescent="0.25">
      <c r="AG188" s="126">
        <v>187</v>
      </c>
      <c r="AH188" s="126" t="s">
        <v>1396</v>
      </c>
      <c r="AI188" s="128">
        <f t="shared" si="17"/>
        <v>41456</v>
      </c>
      <c r="AJ188" s="126">
        <f t="shared" si="18"/>
        <v>0</v>
      </c>
      <c r="AK188" s="126">
        <f t="array" ref="AK188">INDEX($P$3:$P$24,MATCH(AM188&amp;YEAR(AI188),$A$3:$A$24&amp;YEAR($B$3:$B$24),0))</f>
        <v>0</v>
      </c>
      <c r="AL188" s="126" t="s">
        <v>1398</v>
      </c>
      <c r="AM188" s="126" t="str">
        <f t="shared" si="19"/>
        <v>Interest Income - 2010A Bonds (361-31)</v>
      </c>
    </row>
    <row r="189" spans="33:39" x14ac:dyDescent="0.25">
      <c r="AG189" s="126">
        <v>188</v>
      </c>
      <c r="AH189" s="126" t="s">
        <v>1396</v>
      </c>
      <c r="AI189" s="128">
        <f t="shared" si="17"/>
        <v>41487</v>
      </c>
      <c r="AJ189" s="126">
        <f t="shared" si="18"/>
        <v>0</v>
      </c>
      <c r="AK189" s="126">
        <f t="array" ref="AK189">INDEX($P$3:$P$24,MATCH(AM189&amp;YEAR(AI189),$A$3:$A$24&amp;YEAR($B$3:$B$24),0))</f>
        <v>0</v>
      </c>
      <c r="AL189" s="126" t="s">
        <v>1398</v>
      </c>
      <c r="AM189" s="126" t="str">
        <f t="shared" si="19"/>
        <v>Interest Income - 2010A Bonds (361-31)</v>
      </c>
    </row>
    <row r="190" spans="33:39" x14ac:dyDescent="0.25">
      <c r="AG190" s="126">
        <v>189</v>
      </c>
      <c r="AH190" s="126" t="s">
        <v>1396</v>
      </c>
      <c r="AI190" s="128">
        <f t="shared" si="17"/>
        <v>41518</v>
      </c>
      <c r="AJ190" s="126">
        <f t="shared" si="18"/>
        <v>0</v>
      </c>
      <c r="AK190" s="126">
        <f t="array" ref="AK190">INDEX($P$3:$P$24,MATCH(AM190&amp;YEAR(AI190),$A$3:$A$24&amp;YEAR($B$3:$B$24),0))</f>
        <v>0</v>
      </c>
      <c r="AL190" s="126" t="s">
        <v>1398</v>
      </c>
      <c r="AM190" s="126" t="str">
        <f t="shared" si="19"/>
        <v>Interest Income - 2010A Bonds (361-31)</v>
      </c>
    </row>
    <row r="191" spans="33:39" x14ac:dyDescent="0.25">
      <c r="AG191" s="126">
        <v>190</v>
      </c>
      <c r="AH191" s="126" t="s">
        <v>1396</v>
      </c>
      <c r="AI191" s="128">
        <f t="shared" si="17"/>
        <v>41548</v>
      </c>
      <c r="AJ191" s="126">
        <f t="shared" si="18"/>
        <v>0</v>
      </c>
      <c r="AK191" s="126">
        <f t="array" ref="AK191">INDEX($P$3:$P$24,MATCH(AM191&amp;YEAR(AI191),$A$3:$A$24&amp;YEAR($B$3:$B$24),0))</f>
        <v>0</v>
      </c>
      <c r="AL191" s="126" t="s">
        <v>1398</v>
      </c>
      <c r="AM191" s="126" t="str">
        <f t="shared" si="19"/>
        <v>Interest Income - 2010A Bonds (361-31)</v>
      </c>
    </row>
    <row r="192" spans="33:39" x14ac:dyDescent="0.25">
      <c r="AG192" s="126">
        <v>191</v>
      </c>
      <c r="AH192" s="126" t="s">
        <v>1396</v>
      </c>
      <c r="AI192" s="128">
        <f t="shared" si="17"/>
        <v>41579</v>
      </c>
      <c r="AJ192" s="126">
        <f t="shared" si="18"/>
        <v>0</v>
      </c>
      <c r="AK192" s="126">
        <f t="array" ref="AK192">INDEX($P$3:$P$24,MATCH(AM192&amp;YEAR(AI192),$A$3:$A$24&amp;YEAR($B$3:$B$24),0))</f>
        <v>0</v>
      </c>
      <c r="AL192" s="126" t="s">
        <v>1398</v>
      </c>
      <c r="AM192" s="126" t="str">
        <f t="shared" si="19"/>
        <v>Interest Income - 2010A Bonds (361-31)</v>
      </c>
    </row>
    <row r="193" spans="33:39" x14ac:dyDescent="0.25">
      <c r="AG193" s="126">
        <v>192</v>
      </c>
      <c r="AH193" s="126" t="s">
        <v>1396</v>
      </c>
      <c r="AI193" s="128">
        <f t="shared" si="17"/>
        <v>41609</v>
      </c>
      <c r="AJ193" s="126">
        <f t="shared" si="18"/>
        <v>0</v>
      </c>
      <c r="AK193" s="126">
        <f t="array" ref="AK193">INDEX($P$3:$P$24,MATCH(AM193&amp;YEAR(AI193),$A$3:$A$24&amp;YEAR($B$3:$B$24),0))</f>
        <v>0</v>
      </c>
      <c r="AL193" s="126" t="s">
        <v>1398</v>
      </c>
      <c r="AM193" s="126" t="str">
        <f t="shared" si="19"/>
        <v>Interest Income - 2010A Bonds (361-31)</v>
      </c>
    </row>
    <row r="194" spans="33:39" x14ac:dyDescent="0.25">
      <c r="AG194" s="126">
        <v>193</v>
      </c>
      <c r="AH194" s="126" t="s">
        <v>1396</v>
      </c>
      <c r="AI194" s="128">
        <f t="shared" ref="AI194:AI257" si="20">DATE(YEAR(INDEX($B$2:$N$24,INT((AG194+11)/12)+1,1)),IF(MOD(AG194,12)&lt;&gt;0,MOD(AG194,12),12),1)</f>
        <v>40909</v>
      </c>
      <c r="AJ194" s="126">
        <f t="shared" ref="AJ194:AJ257" si="21">INDEX($C$3:$N$24,INT((AG194+11)/12),AG194-(12*(INT((AG194+11)/12)-1)))</f>
        <v>0</v>
      </c>
      <c r="AK194" s="126">
        <f t="array" ref="AK194">INDEX($P$3:$P$24,MATCH(AM194&amp;YEAR(AI194),$A$3:$A$24&amp;YEAR($B$3:$B$24),0))</f>
        <v>0</v>
      </c>
      <c r="AL194" s="126" t="s">
        <v>1398</v>
      </c>
      <c r="AM194" s="126" t="str">
        <f t="shared" ref="AM194:AM257" si="22">INDEX($A$3:$A$24,INT((AG194+11)/12))</f>
        <v>Unrealized Gain/Loss (361-70)</v>
      </c>
    </row>
    <row r="195" spans="33:39" x14ac:dyDescent="0.25">
      <c r="AG195" s="126">
        <v>194</v>
      </c>
      <c r="AH195" s="126" t="s">
        <v>1396</v>
      </c>
      <c r="AI195" s="128">
        <f t="shared" si="20"/>
        <v>40940</v>
      </c>
      <c r="AJ195" s="126">
        <f t="shared" si="21"/>
        <v>0</v>
      </c>
      <c r="AK195" s="126">
        <f t="array" ref="AK195">INDEX($P$3:$P$24,MATCH(AM195&amp;YEAR(AI195),$A$3:$A$24&amp;YEAR($B$3:$B$24),0))</f>
        <v>0</v>
      </c>
      <c r="AL195" s="126" t="s">
        <v>1398</v>
      </c>
      <c r="AM195" s="126" t="str">
        <f t="shared" si="22"/>
        <v>Unrealized Gain/Loss (361-70)</v>
      </c>
    </row>
    <row r="196" spans="33:39" x14ac:dyDescent="0.25">
      <c r="AG196" s="126">
        <v>195</v>
      </c>
      <c r="AH196" s="126" t="s">
        <v>1396</v>
      </c>
      <c r="AI196" s="128">
        <f t="shared" si="20"/>
        <v>40969</v>
      </c>
      <c r="AJ196" s="126">
        <f t="shared" si="21"/>
        <v>0</v>
      </c>
      <c r="AK196" s="126">
        <f t="array" ref="AK196">INDEX($P$3:$P$24,MATCH(AM196&amp;YEAR(AI196),$A$3:$A$24&amp;YEAR($B$3:$B$24),0))</f>
        <v>0</v>
      </c>
      <c r="AL196" s="126" t="s">
        <v>1398</v>
      </c>
      <c r="AM196" s="126" t="str">
        <f t="shared" si="22"/>
        <v>Unrealized Gain/Loss (361-70)</v>
      </c>
    </row>
    <row r="197" spans="33:39" x14ac:dyDescent="0.25">
      <c r="AG197" s="126">
        <v>196</v>
      </c>
      <c r="AH197" s="126" t="s">
        <v>1396</v>
      </c>
      <c r="AI197" s="128">
        <f t="shared" si="20"/>
        <v>41000</v>
      </c>
      <c r="AJ197" s="126">
        <f t="shared" si="21"/>
        <v>0</v>
      </c>
      <c r="AK197" s="126">
        <f t="array" ref="AK197">INDEX($P$3:$P$24,MATCH(AM197&amp;YEAR(AI197),$A$3:$A$24&amp;YEAR($B$3:$B$24),0))</f>
        <v>0</v>
      </c>
      <c r="AL197" s="126" t="s">
        <v>1398</v>
      </c>
      <c r="AM197" s="126" t="str">
        <f t="shared" si="22"/>
        <v>Unrealized Gain/Loss (361-70)</v>
      </c>
    </row>
    <row r="198" spans="33:39" x14ac:dyDescent="0.25">
      <c r="AG198" s="126">
        <v>197</v>
      </c>
      <c r="AH198" s="126" t="s">
        <v>1396</v>
      </c>
      <c r="AI198" s="128">
        <f t="shared" si="20"/>
        <v>41030</v>
      </c>
      <c r="AJ198" s="126">
        <f t="shared" si="21"/>
        <v>0</v>
      </c>
      <c r="AK198" s="126">
        <f t="array" ref="AK198">INDEX($P$3:$P$24,MATCH(AM198&amp;YEAR(AI198),$A$3:$A$24&amp;YEAR($B$3:$B$24),0))</f>
        <v>0</v>
      </c>
      <c r="AL198" s="126" t="s">
        <v>1398</v>
      </c>
      <c r="AM198" s="126" t="str">
        <f t="shared" si="22"/>
        <v>Unrealized Gain/Loss (361-70)</v>
      </c>
    </row>
    <row r="199" spans="33:39" x14ac:dyDescent="0.25">
      <c r="AG199" s="126">
        <v>198</v>
      </c>
      <c r="AH199" s="126" t="s">
        <v>1396</v>
      </c>
      <c r="AI199" s="128">
        <f t="shared" si="20"/>
        <v>41061</v>
      </c>
      <c r="AJ199" s="126">
        <f t="shared" si="21"/>
        <v>0</v>
      </c>
      <c r="AK199" s="126">
        <f t="array" ref="AK199">INDEX($P$3:$P$24,MATCH(AM199&amp;YEAR(AI199),$A$3:$A$24&amp;YEAR($B$3:$B$24),0))</f>
        <v>0</v>
      </c>
      <c r="AL199" s="126" t="s">
        <v>1398</v>
      </c>
      <c r="AM199" s="126" t="str">
        <f t="shared" si="22"/>
        <v>Unrealized Gain/Loss (361-70)</v>
      </c>
    </row>
    <row r="200" spans="33:39" x14ac:dyDescent="0.25">
      <c r="AG200" s="126">
        <v>199</v>
      </c>
      <c r="AH200" s="126" t="s">
        <v>1396</v>
      </c>
      <c r="AI200" s="128">
        <f t="shared" si="20"/>
        <v>41091</v>
      </c>
      <c r="AJ200" s="126">
        <f t="shared" si="21"/>
        <v>0</v>
      </c>
      <c r="AK200" s="126">
        <f t="array" ref="AK200">INDEX($P$3:$P$24,MATCH(AM200&amp;YEAR(AI200),$A$3:$A$24&amp;YEAR($B$3:$B$24),0))</f>
        <v>0</v>
      </c>
      <c r="AL200" s="126" t="s">
        <v>1398</v>
      </c>
      <c r="AM200" s="126" t="str">
        <f t="shared" si="22"/>
        <v>Unrealized Gain/Loss (361-70)</v>
      </c>
    </row>
    <row r="201" spans="33:39" x14ac:dyDescent="0.25">
      <c r="AG201" s="126">
        <v>200</v>
      </c>
      <c r="AH201" s="126" t="s">
        <v>1396</v>
      </c>
      <c r="AI201" s="128">
        <f t="shared" si="20"/>
        <v>41122</v>
      </c>
      <c r="AJ201" s="126">
        <f t="shared" si="21"/>
        <v>0</v>
      </c>
      <c r="AK201" s="126">
        <f t="array" ref="AK201">INDEX($P$3:$P$24,MATCH(AM201&amp;YEAR(AI201),$A$3:$A$24&amp;YEAR($B$3:$B$24),0))</f>
        <v>0</v>
      </c>
      <c r="AL201" s="126" t="s">
        <v>1398</v>
      </c>
      <c r="AM201" s="126" t="str">
        <f t="shared" si="22"/>
        <v>Unrealized Gain/Loss (361-70)</v>
      </c>
    </row>
    <row r="202" spans="33:39" x14ac:dyDescent="0.25">
      <c r="AG202" s="126">
        <v>201</v>
      </c>
      <c r="AH202" s="126" t="s">
        <v>1396</v>
      </c>
      <c r="AI202" s="128">
        <f t="shared" si="20"/>
        <v>41153</v>
      </c>
      <c r="AJ202" s="126">
        <f t="shared" si="21"/>
        <v>0</v>
      </c>
      <c r="AK202" s="126">
        <f t="array" ref="AK202">INDEX($P$3:$P$24,MATCH(AM202&amp;YEAR(AI202),$A$3:$A$24&amp;YEAR($B$3:$B$24),0))</f>
        <v>0</v>
      </c>
      <c r="AL202" s="126" t="s">
        <v>1398</v>
      </c>
      <c r="AM202" s="126" t="str">
        <f t="shared" si="22"/>
        <v>Unrealized Gain/Loss (361-70)</v>
      </c>
    </row>
    <row r="203" spans="33:39" x14ac:dyDescent="0.25">
      <c r="AG203" s="126">
        <v>202</v>
      </c>
      <c r="AH203" s="126" t="s">
        <v>1396</v>
      </c>
      <c r="AI203" s="128">
        <f t="shared" si="20"/>
        <v>41183</v>
      </c>
      <c r="AJ203" s="126">
        <f t="shared" si="21"/>
        <v>0</v>
      </c>
      <c r="AK203" s="126">
        <f t="array" ref="AK203">INDEX($P$3:$P$24,MATCH(AM203&amp;YEAR(AI203),$A$3:$A$24&amp;YEAR($B$3:$B$24),0))</f>
        <v>0</v>
      </c>
      <c r="AL203" s="126" t="s">
        <v>1398</v>
      </c>
      <c r="AM203" s="126" t="str">
        <f t="shared" si="22"/>
        <v>Unrealized Gain/Loss (361-70)</v>
      </c>
    </row>
    <row r="204" spans="33:39" x14ac:dyDescent="0.25">
      <c r="AG204" s="126">
        <v>203</v>
      </c>
      <c r="AH204" s="126" t="s">
        <v>1396</v>
      </c>
      <c r="AI204" s="128">
        <f t="shared" si="20"/>
        <v>41214</v>
      </c>
      <c r="AJ204" s="126">
        <f t="shared" si="21"/>
        <v>0</v>
      </c>
      <c r="AK204" s="126">
        <f t="array" ref="AK204">INDEX($P$3:$P$24,MATCH(AM204&amp;YEAR(AI204),$A$3:$A$24&amp;YEAR($B$3:$B$24),0))</f>
        <v>0</v>
      </c>
      <c r="AL204" s="126" t="s">
        <v>1398</v>
      </c>
      <c r="AM204" s="126" t="str">
        <f t="shared" si="22"/>
        <v>Unrealized Gain/Loss (361-70)</v>
      </c>
    </row>
    <row r="205" spans="33:39" x14ac:dyDescent="0.25">
      <c r="AG205" s="126">
        <v>204</v>
      </c>
      <c r="AH205" s="126" t="s">
        <v>1396</v>
      </c>
      <c r="AI205" s="128">
        <f t="shared" si="20"/>
        <v>41244</v>
      </c>
      <c r="AJ205" s="126">
        <f t="shared" si="21"/>
        <v>-23690.68</v>
      </c>
      <c r="AK205" s="126">
        <f t="array" ref="AK205">INDEX($P$3:$P$24,MATCH(AM205&amp;YEAR(AI205),$A$3:$A$24&amp;YEAR($B$3:$B$24),0))</f>
        <v>0</v>
      </c>
      <c r="AL205" s="126" t="s">
        <v>1398</v>
      </c>
      <c r="AM205" s="126" t="str">
        <f t="shared" si="22"/>
        <v>Unrealized Gain/Loss (361-70)</v>
      </c>
    </row>
    <row r="206" spans="33:39" x14ac:dyDescent="0.25">
      <c r="AG206" s="126">
        <v>205</v>
      </c>
      <c r="AH206" s="126" t="s">
        <v>1396</v>
      </c>
      <c r="AI206" s="128">
        <f t="shared" si="20"/>
        <v>41275</v>
      </c>
      <c r="AJ206" s="126">
        <f t="shared" si="21"/>
        <v>0</v>
      </c>
      <c r="AK206" s="126">
        <f t="array" ref="AK206">INDEX($P$3:$P$24,MATCH(AM206&amp;YEAR(AI206),$A$3:$A$24&amp;YEAR($B$3:$B$24),0))</f>
        <v>0</v>
      </c>
      <c r="AL206" s="126" t="s">
        <v>1398</v>
      </c>
      <c r="AM206" s="126" t="str">
        <f t="shared" si="22"/>
        <v>Unrealized Gain/Loss (361-70)</v>
      </c>
    </row>
    <row r="207" spans="33:39" x14ac:dyDescent="0.25">
      <c r="AG207" s="126">
        <v>206</v>
      </c>
      <c r="AH207" s="126" t="s">
        <v>1396</v>
      </c>
      <c r="AI207" s="128">
        <f t="shared" si="20"/>
        <v>41306</v>
      </c>
      <c r="AJ207" s="126">
        <f t="shared" si="21"/>
        <v>0</v>
      </c>
      <c r="AK207" s="126">
        <f t="array" ref="AK207">INDEX($P$3:$P$24,MATCH(AM207&amp;YEAR(AI207),$A$3:$A$24&amp;YEAR($B$3:$B$24),0))</f>
        <v>0</v>
      </c>
      <c r="AL207" s="126" t="s">
        <v>1398</v>
      </c>
      <c r="AM207" s="126" t="str">
        <f t="shared" si="22"/>
        <v>Unrealized Gain/Loss (361-70)</v>
      </c>
    </row>
    <row r="208" spans="33:39" x14ac:dyDescent="0.25">
      <c r="AG208" s="126">
        <v>207</v>
      </c>
      <c r="AH208" s="126" t="s">
        <v>1396</v>
      </c>
      <c r="AI208" s="128">
        <f t="shared" si="20"/>
        <v>41334</v>
      </c>
      <c r="AJ208" s="126">
        <f t="shared" si="21"/>
        <v>0</v>
      </c>
      <c r="AK208" s="126">
        <f t="array" ref="AK208">INDEX($P$3:$P$24,MATCH(AM208&amp;YEAR(AI208),$A$3:$A$24&amp;YEAR($B$3:$B$24),0))</f>
        <v>0</v>
      </c>
      <c r="AL208" s="126" t="s">
        <v>1398</v>
      </c>
      <c r="AM208" s="126" t="str">
        <f t="shared" si="22"/>
        <v>Unrealized Gain/Loss (361-70)</v>
      </c>
    </row>
    <row r="209" spans="33:39" x14ac:dyDescent="0.25">
      <c r="AG209" s="126">
        <v>208</v>
      </c>
      <c r="AH209" s="126" t="s">
        <v>1396</v>
      </c>
      <c r="AI209" s="128">
        <f t="shared" si="20"/>
        <v>41365</v>
      </c>
      <c r="AJ209" s="126">
        <f t="shared" si="21"/>
        <v>0</v>
      </c>
      <c r="AK209" s="126">
        <f t="array" ref="AK209">INDEX($P$3:$P$24,MATCH(AM209&amp;YEAR(AI209),$A$3:$A$24&amp;YEAR($B$3:$B$24),0))</f>
        <v>0</v>
      </c>
      <c r="AL209" s="126" t="s">
        <v>1398</v>
      </c>
      <c r="AM209" s="126" t="str">
        <f t="shared" si="22"/>
        <v>Unrealized Gain/Loss (361-70)</v>
      </c>
    </row>
    <row r="210" spans="33:39" x14ac:dyDescent="0.25">
      <c r="AG210" s="126">
        <v>209</v>
      </c>
      <c r="AH210" s="126" t="s">
        <v>1396</v>
      </c>
      <c r="AI210" s="128">
        <f t="shared" si="20"/>
        <v>41395</v>
      </c>
      <c r="AJ210" s="126">
        <f t="shared" si="21"/>
        <v>0</v>
      </c>
      <c r="AK210" s="126">
        <f t="array" ref="AK210">INDEX($P$3:$P$24,MATCH(AM210&amp;YEAR(AI210),$A$3:$A$24&amp;YEAR($B$3:$B$24),0))</f>
        <v>0</v>
      </c>
      <c r="AL210" s="126" t="s">
        <v>1398</v>
      </c>
      <c r="AM210" s="126" t="str">
        <f t="shared" si="22"/>
        <v>Unrealized Gain/Loss (361-70)</v>
      </c>
    </row>
    <row r="211" spans="33:39" x14ac:dyDescent="0.25">
      <c r="AG211" s="126">
        <v>210</v>
      </c>
      <c r="AH211" s="126" t="s">
        <v>1396</v>
      </c>
      <c r="AI211" s="128">
        <f t="shared" si="20"/>
        <v>41426</v>
      </c>
      <c r="AJ211" s="126">
        <f t="shared" si="21"/>
        <v>0</v>
      </c>
      <c r="AK211" s="126">
        <f t="array" ref="AK211">INDEX($P$3:$P$24,MATCH(AM211&amp;YEAR(AI211),$A$3:$A$24&amp;YEAR($B$3:$B$24),0))</f>
        <v>0</v>
      </c>
      <c r="AL211" s="126" t="s">
        <v>1398</v>
      </c>
      <c r="AM211" s="126" t="str">
        <f t="shared" si="22"/>
        <v>Unrealized Gain/Loss (361-70)</v>
      </c>
    </row>
    <row r="212" spans="33:39" x14ac:dyDescent="0.25">
      <c r="AG212" s="126">
        <v>211</v>
      </c>
      <c r="AH212" s="126" t="s">
        <v>1396</v>
      </c>
      <c r="AI212" s="128">
        <f t="shared" si="20"/>
        <v>41456</v>
      </c>
      <c r="AJ212" s="126">
        <f t="shared" si="21"/>
        <v>0</v>
      </c>
      <c r="AK212" s="126">
        <f t="array" ref="AK212">INDEX($P$3:$P$24,MATCH(AM212&amp;YEAR(AI212),$A$3:$A$24&amp;YEAR($B$3:$B$24),0))</f>
        <v>0</v>
      </c>
      <c r="AL212" s="126" t="s">
        <v>1398</v>
      </c>
      <c r="AM212" s="126" t="str">
        <f t="shared" si="22"/>
        <v>Unrealized Gain/Loss (361-70)</v>
      </c>
    </row>
    <row r="213" spans="33:39" x14ac:dyDescent="0.25">
      <c r="AG213" s="126">
        <v>212</v>
      </c>
      <c r="AH213" s="126" t="s">
        <v>1396</v>
      </c>
      <c r="AI213" s="128">
        <f t="shared" si="20"/>
        <v>41487</v>
      </c>
      <c r="AJ213" s="126">
        <f t="shared" si="21"/>
        <v>0</v>
      </c>
      <c r="AK213" s="126">
        <f t="array" ref="AK213">INDEX($P$3:$P$24,MATCH(AM213&amp;YEAR(AI213),$A$3:$A$24&amp;YEAR($B$3:$B$24),0))</f>
        <v>0</v>
      </c>
      <c r="AL213" s="126" t="s">
        <v>1398</v>
      </c>
      <c r="AM213" s="126" t="str">
        <f t="shared" si="22"/>
        <v>Unrealized Gain/Loss (361-70)</v>
      </c>
    </row>
    <row r="214" spans="33:39" x14ac:dyDescent="0.25">
      <c r="AG214" s="126">
        <v>213</v>
      </c>
      <c r="AH214" s="126" t="s">
        <v>1396</v>
      </c>
      <c r="AI214" s="128">
        <f t="shared" si="20"/>
        <v>41518</v>
      </c>
      <c r="AJ214" s="126">
        <f t="shared" si="21"/>
        <v>0</v>
      </c>
      <c r="AK214" s="126">
        <f t="array" ref="AK214">INDEX($P$3:$P$24,MATCH(AM214&amp;YEAR(AI214),$A$3:$A$24&amp;YEAR($B$3:$B$24),0))</f>
        <v>0</v>
      </c>
      <c r="AL214" s="126" t="s">
        <v>1398</v>
      </c>
      <c r="AM214" s="126" t="str">
        <f t="shared" si="22"/>
        <v>Unrealized Gain/Loss (361-70)</v>
      </c>
    </row>
    <row r="215" spans="33:39" x14ac:dyDescent="0.25">
      <c r="AG215" s="126">
        <v>214</v>
      </c>
      <c r="AH215" s="126" t="s">
        <v>1396</v>
      </c>
      <c r="AI215" s="128">
        <f t="shared" si="20"/>
        <v>41548</v>
      </c>
      <c r="AJ215" s="126">
        <f t="shared" si="21"/>
        <v>0</v>
      </c>
      <c r="AK215" s="126">
        <f t="array" ref="AK215">INDEX($P$3:$P$24,MATCH(AM215&amp;YEAR(AI215),$A$3:$A$24&amp;YEAR($B$3:$B$24),0))</f>
        <v>0</v>
      </c>
      <c r="AL215" s="126" t="s">
        <v>1398</v>
      </c>
      <c r="AM215" s="126" t="str">
        <f t="shared" si="22"/>
        <v>Unrealized Gain/Loss (361-70)</v>
      </c>
    </row>
    <row r="216" spans="33:39" x14ac:dyDescent="0.25">
      <c r="AG216" s="126">
        <v>215</v>
      </c>
      <c r="AH216" s="126" t="s">
        <v>1396</v>
      </c>
      <c r="AI216" s="128">
        <f t="shared" si="20"/>
        <v>41579</v>
      </c>
      <c r="AJ216" s="126">
        <f t="shared" si="21"/>
        <v>0</v>
      </c>
      <c r="AK216" s="126">
        <f t="array" ref="AK216">INDEX($P$3:$P$24,MATCH(AM216&amp;YEAR(AI216),$A$3:$A$24&amp;YEAR($B$3:$B$24),0))</f>
        <v>0</v>
      </c>
      <c r="AL216" s="126" t="s">
        <v>1398</v>
      </c>
      <c r="AM216" s="126" t="str">
        <f t="shared" si="22"/>
        <v>Unrealized Gain/Loss (361-70)</v>
      </c>
    </row>
    <row r="217" spans="33:39" x14ac:dyDescent="0.25">
      <c r="AG217" s="126">
        <v>216</v>
      </c>
      <c r="AH217" s="126" t="s">
        <v>1396</v>
      </c>
      <c r="AI217" s="128">
        <f t="shared" si="20"/>
        <v>41609</v>
      </c>
      <c r="AJ217" s="126">
        <f t="shared" si="21"/>
        <v>0</v>
      </c>
      <c r="AK217" s="126">
        <f t="array" ref="AK217">INDEX($P$3:$P$24,MATCH(AM217&amp;YEAR(AI217),$A$3:$A$24&amp;YEAR($B$3:$B$24),0))</f>
        <v>0</v>
      </c>
      <c r="AL217" s="126" t="s">
        <v>1398</v>
      </c>
      <c r="AM217" s="126" t="str">
        <f t="shared" si="22"/>
        <v>Unrealized Gain/Loss (361-70)</v>
      </c>
    </row>
    <row r="218" spans="33:39" x14ac:dyDescent="0.25">
      <c r="AG218" s="126">
        <v>217</v>
      </c>
      <c r="AH218" s="126" t="s">
        <v>1396</v>
      </c>
      <c r="AI218" s="128">
        <f t="shared" si="20"/>
        <v>40909</v>
      </c>
      <c r="AJ218" s="126">
        <f t="shared" si="21"/>
        <v>0</v>
      </c>
      <c r="AK218" s="126">
        <f t="array" ref="AK218">INDEX($P$3:$P$24,MATCH(AM218&amp;YEAR(AI218),$A$3:$A$24&amp;YEAR($B$3:$B$24),0))</f>
        <v>30000</v>
      </c>
      <c r="AL218" s="126" t="s">
        <v>1398</v>
      </c>
      <c r="AM218" s="126" t="str">
        <f t="shared" si="22"/>
        <v>Rents/Royalties (362*)</v>
      </c>
    </row>
    <row r="219" spans="33:39" x14ac:dyDescent="0.25">
      <c r="AG219" s="126">
        <v>218</v>
      </c>
      <c r="AH219" s="126" t="s">
        <v>1396</v>
      </c>
      <c r="AI219" s="128">
        <f t="shared" si="20"/>
        <v>40940</v>
      </c>
      <c r="AJ219" s="126">
        <f t="shared" si="21"/>
        <v>0</v>
      </c>
      <c r="AK219" s="126">
        <f t="array" ref="AK219">INDEX($P$3:$P$24,MATCH(AM219&amp;YEAR(AI219),$A$3:$A$24&amp;YEAR($B$3:$B$24),0))</f>
        <v>30000</v>
      </c>
      <c r="AL219" s="126" t="s">
        <v>1398</v>
      </c>
      <c r="AM219" s="126" t="str">
        <f t="shared" si="22"/>
        <v>Rents/Royalties (362*)</v>
      </c>
    </row>
    <row r="220" spans="33:39" x14ac:dyDescent="0.25">
      <c r="AG220" s="126">
        <v>219</v>
      </c>
      <c r="AH220" s="126" t="s">
        <v>1396</v>
      </c>
      <c r="AI220" s="128">
        <f t="shared" si="20"/>
        <v>40969</v>
      </c>
      <c r="AJ220" s="126">
        <f t="shared" si="21"/>
        <v>12500</v>
      </c>
      <c r="AK220" s="126">
        <f t="array" ref="AK220">INDEX($P$3:$P$24,MATCH(AM220&amp;YEAR(AI220),$A$3:$A$24&amp;YEAR($B$3:$B$24),0))</f>
        <v>30000</v>
      </c>
      <c r="AL220" s="126" t="s">
        <v>1398</v>
      </c>
      <c r="AM220" s="126" t="str">
        <f t="shared" si="22"/>
        <v>Rents/Royalties (362*)</v>
      </c>
    </row>
    <row r="221" spans="33:39" x14ac:dyDescent="0.25">
      <c r="AG221" s="126">
        <v>220</v>
      </c>
      <c r="AH221" s="126" t="s">
        <v>1396</v>
      </c>
      <c r="AI221" s="128">
        <f t="shared" si="20"/>
        <v>41000</v>
      </c>
      <c r="AJ221" s="126">
        <f t="shared" si="21"/>
        <v>0</v>
      </c>
      <c r="AK221" s="126">
        <f t="array" ref="AK221">INDEX($P$3:$P$24,MATCH(AM221&amp;YEAR(AI221),$A$3:$A$24&amp;YEAR($B$3:$B$24),0))</f>
        <v>30000</v>
      </c>
      <c r="AL221" s="126" t="s">
        <v>1398</v>
      </c>
      <c r="AM221" s="126" t="str">
        <f t="shared" si="22"/>
        <v>Rents/Royalties (362*)</v>
      </c>
    </row>
    <row r="222" spans="33:39" x14ac:dyDescent="0.25">
      <c r="AG222" s="126">
        <v>221</v>
      </c>
      <c r="AH222" s="126" t="s">
        <v>1396</v>
      </c>
      <c r="AI222" s="128">
        <f t="shared" si="20"/>
        <v>41030</v>
      </c>
      <c r="AJ222" s="126">
        <f t="shared" si="21"/>
        <v>865.11</v>
      </c>
      <c r="AK222" s="126">
        <f t="array" ref="AK222">INDEX($P$3:$P$24,MATCH(AM222&amp;YEAR(AI222),$A$3:$A$24&amp;YEAR($B$3:$B$24),0))</f>
        <v>30000</v>
      </c>
      <c r="AL222" s="126" t="s">
        <v>1398</v>
      </c>
      <c r="AM222" s="126" t="str">
        <f t="shared" si="22"/>
        <v>Rents/Royalties (362*)</v>
      </c>
    </row>
    <row r="223" spans="33:39" x14ac:dyDescent="0.25">
      <c r="AG223" s="126">
        <v>222</v>
      </c>
      <c r="AH223" s="126" t="s">
        <v>1396</v>
      </c>
      <c r="AI223" s="128">
        <f t="shared" si="20"/>
        <v>41061</v>
      </c>
      <c r="AJ223" s="126">
        <f t="shared" si="21"/>
        <v>338</v>
      </c>
      <c r="AK223" s="126">
        <f t="array" ref="AK223">INDEX($P$3:$P$24,MATCH(AM223&amp;YEAR(AI223),$A$3:$A$24&amp;YEAR($B$3:$B$24),0))</f>
        <v>30000</v>
      </c>
      <c r="AL223" s="126" t="s">
        <v>1398</v>
      </c>
      <c r="AM223" s="126" t="str">
        <f t="shared" si="22"/>
        <v>Rents/Royalties (362*)</v>
      </c>
    </row>
    <row r="224" spans="33:39" x14ac:dyDescent="0.25">
      <c r="AG224" s="126">
        <v>223</v>
      </c>
      <c r="AH224" s="126" t="s">
        <v>1396</v>
      </c>
      <c r="AI224" s="128">
        <f t="shared" si="20"/>
        <v>41091</v>
      </c>
      <c r="AJ224" s="126">
        <f t="shared" si="21"/>
        <v>114</v>
      </c>
      <c r="AK224" s="126">
        <f t="array" ref="AK224">INDEX($P$3:$P$24,MATCH(AM224&amp;YEAR(AI224),$A$3:$A$24&amp;YEAR($B$3:$B$24),0))</f>
        <v>30000</v>
      </c>
      <c r="AL224" s="126" t="s">
        <v>1398</v>
      </c>
      <c r="AM224" s="126" t="str">
        <f t="shared" si="22"/>
        <v>Rents/Royalties (362*)</v>
      </c>
    </row>
    <row r="225" spans="33:39" x14ac:dyDescent="0.25">
      <c r="AG225" s="126">
        <v>224</v>
      </c>
      <c r="AH225" s="126" t="s">
        <v>1396</v>
      </c>
      <c r="AI225" s="128">
        <f t="shared" si="20"/>
        <v>41122</v>
      </c>
      <c r="AJ225" s="126">
        <f t="shared" si="21"/>
        <v>6413.5</v>
      </c>
      <c r="AK225" s="126">
        <f t="array" ref="AK225">INDEX($P$3:$P$24,MATCH(AM225&amp;YEAR(AI225),$A$3:$A$24&amp;YEAR($B$3:$B$24),0))</f>
        <v>30000</v>
      </c>
      <c r="AL225" s="126" t="s">
        <v>1398</v>
      </c>
      <c r="AM225" s="126" t="str">
        <f t="shared" si="22"/>
        <v>Rents/Royalties (362*)</v>
      </c>
    </row>
    <row r="226" spans="33:39" x14ac:dyDescent="0.25">
      <c r="AG226" s="126">
        <v>225</v>
      </c>
      <c r="AH226" s="126" t="s">
        <v>1396</v>
      </c>
      <c r="AI226" s="128">
        <f t="shared" si="20"/>
        <v>41153</v>
      </c>
      <c r="AJ226" s="126">
        <f t="shared" si="21"/>
        <v>-347.93</v>
      </c>
      <c r="AK226" s="126">
        <f t="array" ref="AK226">INDEX($P$3:$P$24,MATCH(AM226&amp;YEAR(AI226),$A$3:$A$24&amp;YEAR($B$3:$B$24),0))</f>
        <v>30000</v>
      </c>
      <c r="AL226" s="126" t="s">
        <v>1398</v>
      </c>
      <c r="AM226" s="126" t="str">
        <f t="shared" si="22"/>
        <v>Rents/Royalties (362*)</v>
      </c>
    </row>
    <row r="227" spans="33:39" x14ac:dyDescent="0.25">
      <c r="AG227" s="126">
        <v>226</v>
      </c>
      <c r="AH227" s="126" t="s">
        <v>1396</v>
      </c>
      <c r="AI227" s="128">
        <f t="shared" si="20"/>
        <v>41183</v>
      </c>
      <c r="AJ227" s="126">
        <f t="shared" si="21"/>
        <v>16188.72</v>
      </c>
      <c r="AK227" s="126">
        <f t="array" ref="AK227">INDEX($P$3:$P$24,MATCH(AM227&amp;YEAR(AI227),$A$3:$A$24&amp;YEAR($B$3:$B$24),0))</f>
        <v>30000</v>
      </c>
      <c r="AL227" s="126" t="s">
        <v>1398</v>
      </c>
      <c r="AM227" s="126" t="str">
        <f t="shared" si="22"/>
        <v>Rents/Royalties (362*)</v>
      </c>
    </row>
    <row r="228" spans="33:39" x14ac:dyDescent="0.25">
      <c r="AG228" s="126">
        <v>227</v>
      </c>
      <c r="AH228" s="126" t="s">
        <v>1396</v>
      </c>
      <c r="AI228" s="128">
        <f t="shared" si="20"/>
        <v>41214</v>
      </c>
      <c r="AJ228" s="126">
        <f t="shared" si="21"/>
        <v>23816.28</v>
      </c>
      <c r="AK228" s="126">
        <f t="array" ref="AK228">INDEX($P$3:$P$24,MATCH(AM228&amp;YEAR(AI228),$A$3:$A$24&amp;YEAR($B$3:$B$24),0))</f>
        <v>30000</v>
      </c>
      <c r="AL228" s="126" t="s">
        <v>1398</v>
      </c>
      <c r="AM228" s="126" t="str">
        <f t="shared" si="22"/>
        <v>Rents/Royalties (362*)</v>
      </c>
    </row>
    <row r="229" spans="33:39" x14ac:dyDescent="0.25">
      <c r="AG229" s="126">
        <v>228</v>
      </c>
      <c r="AH229" s="126" t="s">
        <v>1396</v>
      </c>
      <c r="AI229" s="128">
        <f t="shared" si="20"/>
        <v>41244</v>
      </c>
      <c r="AJ229" s="126">
        <f t="shared" si="21"/>
        <v>14494.4</v>
      </c>
      <c r="AK229" s="126">
        <f t="array" ref="AK229">INDEX($P$3:$P$24,MATCH(AM229&amp;YEAR(AI229),$A$3:$A$24&amp;YEAR($B$3:$B$24),0))</f>
        <v>30000</v>
      </c>
      <c r="AL229" s="126" t="s">
        <v>1398</v>
      </c>
      <c r="AM229" s="126" t="str">
        <f t="shared" si="22"/>
        <v>Rents/Royalties (362*)</v>
      </c>
    </row>
    <row r="230" spans="33:39" x14ac:dyDescent="0.25">
      <c r="AG230" s="126">
        <v>229</v>
      </c>
      <c r="AH230" s="126" t="s">
        <v>1396</v>
      </c>
      <c r="AI230" s="128">
        <f t="shared" si="20"/>
        <v>41275</v>
      </c>
      <c r="AJ230" s="126">
        <f t="shared" si="21"/>
        <v>-137.19999999999999</v>
      </c>
      <c r="AK230" s="126">
        <f t="array" ref="AK230">INDEX($P$3:$P$24,MATCH(AM230&amp;YEAR(AI230),$A$3:$A$24&amp;YEAR($B$3:$B$24),0))</f>
        <v>35000</v>
      </c>
      <c r="AL230" s="126" t="s">
        <v>1398</v>
      </c>
      <c r="AM230" s="126" t="str">
        <f t="shared" si="22"/>
        <v>Rents/Royalties (362*)</v>
      </c>
    </row>
    <row r="231" spans="33:39" x14ac:dyDescent="0.25">
      <c r="AG231" s="126">
        <v>230</v>
      </c>
      <c r="AH231" s="126" t="s">
        <v>1396</v>
      </c>
      <c r="AI231" s="128">
        <f t="shared" si="20"/>
        <v>41306</v>
      </c>
      <c r="AJ231" s="126">
        <f t="shared" si="21"/>
        <v>-132.79</v>
      </c>
      <c r="AK231" s="126">
        <f t="array" ref="AK231">INDEX($P$3:$P$24,MATCH(AM231&amp;YEAR(AI231),$A$3:$A$24&amp;YEAR($B$3:$B$24),0))</f>
        <v>35000</v>
      </c>
      <c r="AL231" s="126" t="s">
        <v>1398</v>
      </c>
      <c r="AM231" s="126" t="str">
        <f t="shared" si="22"/>
        <v>Rents/Royalties (362*)</v>
      </c>
    </row>
    <row r="232" spans="33:39" x14ac:dyDescent="0.25">
      <c r="AG232" s="126">
        <v>231</v>
      </c>
      <c r="AH232" s="126" t="s">
        <v>1396</v>
      </c>
      <c r="AI232" s="128">
        <f t="shared" si="20"/>
        <v>41334</v>
      </c>
      <c r="AJ232" s="126">
        <f t="shared" si="21"/>
        <v>-130.33000000000001</v>
      </c>
      <c r="AK232" s="126">
        <f t="array" ref="AK232">INDEX($P$3:$P$24,MATCH(AM232&amp;YEAR(AI232),$A$3:$A$24&amp;YEAR($B$3:$B$24),0))</f>
        <v>35000</v>
      </c>
      <c r="AL232" s="126" t="s">
        <v>1398</v>
      </c>
      <c r="AM232" s="126" t="str">
        <f t="shared" si="22"/>
        <v>Rents/Royalties (362*)</v>
      </c>
    </row>
    <row r="233" spans="33:39" x14ac:dyDescent="0.25">
      <c r="AG233" s="126">
        <v>232</v>
      </c>
      <c r="AH233" s="126" t="s">
        <v>1396</v>
      </c>
      <c r="AI233" s="128">
        <f t="shared" si="20"/>
        <v>41365</v>
      </c>
      <c r="AJ233" s="126">
        <f t="shared" si="21"/>
        <v>55896.18</v>
      </c>
      <c r="AK233" s="126">
        <f t="array" ref="AK233">INDEX($P$3:$P$24,MATCH(AM233&amp;YEAR(AI233),$A$3:$A$24&amp;YEAR($B$3:$B$24),0))</f>
        <v>35000</v>
      </c>
      <c r="AL233" s="126" t="s">
        <v>1398</v>
      </c>
      <c r="AM233" s="126" t="str">
        <f t="shared" si="22"/>
        <v>Rents/Royalties (362*)</v>
      </c>
    </row>
    <row r="234" spans="33:39" x14ac:dyDescent="0.25">
      <c r="AG234" s="126">
        <v>233</v>
      </c>
      <c r="AH234" s="126" t="s">
        <v>1396</v>
      </c>
      <c r="AI234" s="128">
        <f t="shared" si="20"/>
        <v>41395</v>
      </c>
      <c r="AJ234" s="126">
        <f t="shared" si="21"/>
        <v>0</v>
      </c>
      <c r="AK234" s="126">
        <f t="array" ref="AK234">INDEX($P$3:$P$24,MATCH(AM234&amp;YEAR(AI234),$A$3:$A$24&amp;YEAR($B$3:$B$24),0))</f>
        <v>35000</v>
      </c>
      <c r="AL234" s="126" t="s">
        <v>1398</v>
      </c>
      <c r="AM234" s="126" t="str">
        <f t="shared" si="22"/>
        <v>Rents/Royalties (362*)</v>
      </c>
    </row>
    <row r="235" spans="33:39" x14ac:dyDescent="0.25">
      <c r="AG235" s="126">
        <v>234</v>
      </c>
      <c r="AH235" s="126" t="s">
        <v>1396</v>
      </c>
      <c r="AI235" s="128">
        <f t="shared" si="20"/>
        <v>41426</v>
      </c>
      <c r="AJ235" s="126">
        <f t="shared" si="21"/>
        <v>0</v>
      </c>
      <c r="AK235" s="126">
        <f t="array" ref="AK235">INDEX($P$3:$P$24,MATCH(AM235&amp;YEAR(AI235),$A$3:$A$24&amp;YEAR($B$3:$B$24),0))</f>
        <v>35000</v>
      </c>
      <c r="AL235" s="126" t="s">
        <v>1398</v>
      </c>
      <c r="AM235" s="126" t="str">
        <f t="shared" si="22"/>
        <v>Rents/Royalties (362*)</v>
      </c>
    </row>
    <row r="236" spans="33:39" x14ac:dyDescent="0.25">
      <c r="AG236" s="126">
        <v>235</v>
      </c>
      <c r="AH236" s="126" t="s">
        <v>1396</v>
      </c>
      <c r="AI236" s="128">
        <f t="shared" si="20"/>
        <v>41456</v>
      </c>
      <c r="AJ236" s="126">
        <f t="shared" si="21"/>
        <v>0</v>
      </c>
      <c r="AK236" s="126">
        <f t="array" ref="AK236">INDEX($P$3:$P$24,MATCH(AM236&amp;YEAR(AI236),$A$3:$A$24&amp;YEAR($B$3:$B$24),0))</f>
        <v>35000</v>
      </c>
      <c r="AL236" s="126" t="s">
        <v>1398</v>
      </c>
      <c r="AM236" s="126" t="str">
        <f t="shared" si="22"/>
        <v>Rents/Royalties (362*)</v>
      </c>
    </row>
    <row r="237" spans="33:39" x14ac:dyDescent="0.25">
      <c r="AG237" s="126">
        <v>236</v>
      </c>
      <c r="AH237" s="126" t="s">
        <v>1396</v>
      </c>
      <c r="AI237" s="128">
        <f t="shared" si="20"/>
        <v>41487</v>
      </c>
      <c r="AJ237" s="126">
        <f t="shared" si="21"/>
        <v>0</v>
      </c>
      <c r="AK237" s="126">
        <f t="array" ref="AK237">INDEX($P$3:$P$24,MATCH(AM237&amp;YEAR(AI237),$A$3:$A$24&amp;YEAR($B$3:$B$24),0))</f>
        <v>35000</v>
      </c>
      <c r="AL237" s="126" t="s">
        <v>1398</v>
      </c>
      <c r="AM237" s="126" t="str">
        <f t="shared" si="22"/>
        <v>Rents/Royalties (362*)</v>
      </c>
    </row>
    <row r="238" spans="33:39" x14ac:dyDescent="0.25">
      <c r="AG238" s="126">
        <v>237</v>
      </c>
      <c r="AH238" s="126" t="s">
        <v>1396</v>
      </c>
      <c r="AI238" s="128">
        <f t="shared" si="20"/>
        <v>41518</v>
      </c>
      <c r="AJ238" s="126">
        <f t="shared" si="21"/>
        <v>0</v>
      </c>
      <c r="AK238" s="126">
        <f t="array" ref="AK238">INDEX($P$3:$P$24,MATCH(AM238&amp;YEAR(AI238),$A$3:$A$24&amp;YEAR($B$3:$B$24),0))</f>
        <v>35000</v>
      </c>
      <c r="AL238" s="126" t="s">
        <v>1398</v>
      </c>
      <c r="AM238" s="126" t="str">
        <f t="shared" si="22"/>
        <v>Rents/Royalties (362*)</v>
      </c>
    </row>
    <row r="239" spans="33:39" x14ac:dyDescent="0.25">
      <c r="AG239" s="126">
        <v>238</v>
      </c>
      <c r="AH239" s="126" t="s">
        <v>1396</v>
      </c>
      <c r="AI239" s="128">
        <f t="shared" si="20"/>
        <v>41548</v>
      </c>
      <c r="AJ239" s="126">
        <f t="shared" si="21"/>
        <v>0</v>
      </c>
      <c r="AK239" s="126">
        <f t="array" ref="AK239">INDEX($P$3:$P$24,MATCH(AM239&amp;YEAR(AI239),$A$3:$A$24&amp;YEAR($B$3:$B$24),0))</f>
        <v>35000</v>
      </c>
      <c r="AL239" s="126" t="s">
        <v>1398</v>
      </c>
      <c r="AM239" s="126" t="str">
        <f t="shared" si="22"/>
        <v>Rents/Royalties (362*)</v>
      </c>
    </row>
    <row r="240" spans="33:39" x14ac:dyDescent="0.25">
      <c r="AG240" s="126">
        <v>239</v>
      </c>
      <c r="AH240" s="126" t="s">
        <v>1396</v>
      </c>
      <c r="AI240" s="128">
        <f t="shared" si="20"/>
        <v>41579</v>
      </c>
      <c r="AJ240" s="126">
        <f t="shared" si="21"/>
        <v>0</v>
      </c>
      <c r="AK240" s="126">
        <f t="array" ref="AK240">INDEX($P$3:$P$24,MATCH(AM240&amp;YEAR(AI240),$A$3:$A$24&amp;YEAR($B$3:$B$24),0))</f>
        <v>35000</v>
      </c>
      <c r="AL240" s="126" t="s">
        <v>1398</v>
      </c>
      <c r="AM240" s="126" t="str">
        <f t="shared" si="22"/>
        <v>Rents/Royalties (362*)</v>
      </c>
    </row>
    <row r="241" spans="33:39" x14ac:dyDescent="0.25">
      <c r="AG241" s="126">
        <v>240</v>
      </c>
      <c r="AH241" s="126" t="s">
        <v>1396</v>
      </c>
      <c r="AI241" s="128">
        <f t="shared" si="20"/>
        <v>41609</v>
      </c>
      <c r="AJ241" s="126">
        <f t="shared" si="21"/>
        <v>0</v>
      </c>
      <c r="AK241" s="126">
        <f t="array" ref="AK241">INDEX($P$3:$P$24,MATCH(AM241&amp;YEAR(AI241),$A$3:$A$24&amp;YEAR($B$3:$B$24),0))</f>
        <v>35000</v>
      </c>
      <c r="AL241" s="126" t="s">
        <v>1398</v>
      </c>
      <c r="AM241" s="126" t="str">
        <f t="shared" si="22"/>
        <v>Rents/Royalties (362*)</v>
      </c>
    </row>
    <row r="242" spans="33:39" x14ac:dyDescent="0.25">
      <c r="AG242" s="126">
        <v>241</v>
      </c>
      <c r="AH242" s="126" t="s">
        <v>1396</v>
      </c>
      <c r="AI242" s="128">
        <f t="shared" si="20"/>
        <v>40909</v>
      </c>
      <c r="AJ242" s="126">
        <f t="shared" si="21"/>
        <v>0</v>
      </c>
      <c r="AK242" s="126">
        <f t="array" ref="AK242">INDEX($P$3:$P$24,MATCH(AM242&amp;YEAR(AI242),$A$3:$A$24&amp;YEAR($B$3:$B$24),0))</f>
        <v>21934381</v>
      </c>
      <c r="AL242" s="126" t="s">
        <v>1398</v>
      </c>
      <c r="AM242" s="126" t="str">
        <f t="shared" si="22"/>
        <v>Sale of Land (390-**)</v>
      </c>
    </row>
    <row r="243" spans="33:39" x14ac:dyDescent="0.25">
      <c r="AG243" s="126">
        <v>242</v>
      </c>
      <c r="AH243" s="126" t="s">
        <v>1396</v>
      </c>
      <c r="AI243" s="128">
        <f t="shared" si="20"/>
        <v>40940</v>
      </c>
      <c r="AJ243" s="126">
        <f t="shared" si="21"/>
        <v>0</v>
      </c>
      <c r="AK243" s="126">
        <f t="array" ref="AK243">INDEX($P$3:$P$24,MATCH(AM243&amp;YEAR(AI243),$A$3:$A$24&amp;YEAR($B$3:$B$24),0))</f>
        <v>21934381</v>
      </c>
      <c r="AL243" s="126" t="s">
        <v>1398</v>
      </c>
      <c r="AM243" s="126" t="str">
        <f t="shared" si="22"/>
        <v>Sale of Land (390-**)</v>
      </c>
    </row>
    <row r="244" spans="33:39" x14ac:dyDescent="0.25">
      <c r="AG244" s="126">
        <v>243</v>
      </c>
      <c r="AH244" s="126" t="s">
        <v>1396</v>
      </c>
      <c r="AI244" s="128">
        <f t="shared" si="20"/>
        <v>40969</v>
      </c>
      <c r="AJ244" s="126">
        <f t="shared" si="21"/>
        <v>0</v>
      </c>
      <c r="AK244" s="126">
        <f t="array" ref="AK244">INDEX($P$3:$P$24,MATCH(AM244&amp;YEAR(AI244),$A$3:$A$24&amp;YEAR($B$3:$B$24),0))</f>
        <v>21934381</v>
      </c>
      <c r="AL244" s="126" t="s">
        <v>1398</v>
      </c>
      <c r="AM244" s="126" t="str">
        <f t="shared" si="22"/>
        <v>Sale of Land (390-**)</v>
      </c>
    </row>
    <row r="245" spans="33:39" x14ac:dyDescent="0.25">
      <c r="AG245" s="126">
        <v>244</v>
      </c>
      <c r="AH245" s="126" t="s">
        <v>1396</v>
      </c>
      <c r="AI245" s="128">
        <f t="shared" si="20"/>
        <v>41000</v>
      </c>
      <c r="AJ245" s="126">
        <f t="shared" si="21"/>
        <v>0</v>
      </c>
      <c r="AK245" s="126">
        <f t="array" ref="AK245">INDEX($P$3:$P$24,MATCH(AM245&amp;YEAR(AI245),$A$3:$A$24&amp;YEAR($B$3:$B$24),0))</f>
        <v>21934381</v>
      </c>
      <c r="AL245" s="126" t="s">
        <v>1398</v>
      </c>
      <c r="AM245" s="126" t="str">
        <f t="shared" si="22"/>
        <v>Sale of Land (390-**)</v>
      </c>
    </row>
    <row r="246" spans="33:39" x14ac:dyDescent="0.25">
      <c r="AG246" s="126">
        <v>245</v>
      </c>
      <c r="AH246" s="126" t="s">
        <v>1396</v>
      </c>
      <c r="AI246" s="128">
        <f t="shared" si="20"/>
        <v>41030</v>
      </c>
      <c r="AJ246" s="126">
        <f t="shared" si="21"/>
        <v>0</v>
      </c>
      <c r="AK246" s="126">
        <f t="array" ref="AK246">INDEX($P$3:$P$24,MATCH(AM246&amp;YEAR(AI246),$A$3:$A$24&amp;YEAR($B$3:$B$24),0))</f>
        <v>21934381</v>
      </c>
      <c r="AL246" s="126" t="s">
        <v>1398</v>
      </c>
      <c r="AM246" s="126" t="str">
        <f t="shared" si="22"/>
        <v>Sale of Land (390-**)</v>
      </c>
    </row>
    <row r="247" spans="33:39" x14ac:dyDescent="0.25">
      <c r="AG247" s="126">
        <v>246</v>
      </c>
      <c r="AH247" s="126" t="s">
        <v>1396</v>
      </c>
      <c r="AI247" s="128">
        <f t="shared" si="20"/>
        <v>41061</v>
      </c>
      <c r="AJ247" s="126">
        <f t="shared" si="21"/>
        <v>0</v>
      </c>
      <c r="AK247" s="126">
        <f t="array" ref="AK247">INDEX($P$3:$P$24,MATCH(AM247&amp;YEAR(AI247),$A$3:$A$24&amp;YEAR($B$3:$B$24),0))</f>
        <v>21934381</v>
      </c>
      <c r="AL247" s="126" t="s">
        <v>1398</v>
      </c>
      <c r="AM247" s="126" t="str">
        <f t="shared" si="22"/>
        <v>Sale of Land (390-**)</v>
      </c>
    </row>
    <row r="248" spans="33:39" x14ac:dyDescent="0.25">
      <c r="AG248" s="126">
        <v>247</v>
      </c>
      <c r="AH248" s="126" t="s">
        <v>1396</v>
      </c>
      <c r="AI248" s="128">
        <f t="shared" si="20"/>
        <v>41091</v>
      </c>
      <c r="AJ248" s="126">
        <f t="shared" si="21"/>
        <v>0</v>
      </c>
      <c r="AK248" s="126">
        <f t="array" ref="AK248">INDEX($P$3:$P$24,MATCH(AM248&amp;YEAR(AI248),$A$3:$A$24&amp;YEAR($B$3:$B$24),0))</f>
        <v>21934381</v>
      </c>
      <c r="AL248" s="126" t="s">
        <v>1398</v>
      </c>
      <c r="AM248" s="126" t="str">
        <f t="shared" si="22"/>
        <v>Sale of Land (390-**)</v>
      </c>
    </row>
    <row r="249" spans="33:39" x14ac:dyDescent="0.25">
      <c r="AG249" s="126">
        <v>248</v>
      </c>
      <c r="AH249" s="126" t="s">
        <v>1396</v>
      </c>
      <c r="AI249" s="128">
        <f t="shared" si="20"/>
        <v>41122</v>
      </c>
      <c r="AJ249" s="126">
        <f t="shared" si="21"/>
        <v>0</v>
      </c>
      <c r="AK249" s="126">
        <f t="array" ref="AK249">INDEX($P$3:$P$24,MATCH(AM249&amp;YEAR(AI249),$A$3:$A$24&amp;YEAR($B$3:$B$24),0))</f>
        <v>21934381</v>
      </c>
      <c r="AL249" s="126" t="s">
        <v>1398</v>
      </c>
      <c r="AM249" s="126" t="str">
        <f t="shared" si="22"/>
        <v>Sale of Land (390-**)</v>
      </c>
    </row>
    <row r="250" spans="33:39" x14ac:dyDescent="0.25">
      <c r="AG250" s="126">
        <v>249</v>
      </c>
      <c r="AH250" s="126" t="s">
        <v>1396</v>
      </c>
      <c r="AI250" s="128">
        <f t="shared" si="20"/>
        <v>41153</v>
      </c>
      <c r="AJ250" s="126">
        <f t="shared" si="21"/>
        <v>0</v>
      </c>
      <c r="AK250" s="126">
        <f t="array" ref="AK250">INDEX($P$3:$P$24,MATCH(AM250&amp;YEAR(AI250),$A$3:$A$24&amp;YEAR($B$3:$B$24),0))</f>
        <v>21934381</v>
      </c>
      <c r="AL250" s="126" t="s">
        <v>1398</v>
      </c>
      <c r="AM250" s="126" t="str">
        <f t="shared" si="22"/>
        <v>Sale of Land (390-**)</v>
      </c>
    </row>
    <row r="251" spans="33:39" x14ac:dyDescent="0.25">
      <c r="AG251" s="126">
        <v>250</v>
      </c>
      <c r="AH251" s="126" t="s">
        <v>1396</v>
      </c>
      <c r="AI251" s="128">
        <f t="shared" si="20"/>
        <v>41183</v>
      </c>
      <c r="AJ251" s="126">
        <f t="shared" si="21"/>
        <v>29947173.149999999</v>
      </c>
      <c r="AK251" s="126">
        <f t="array" ref="AK251">INDEX($P$3:$P$24,MATCH(AM251&amp;YEAR(AI251),$A$3:$A$24&amp;YEAR($B$3:$B$24),0))</f>
        <v>21934381</v>
      </c>
      <c r="AL251" s="126" t="s">
        <v>1398</v>
      </c>
      <c r="AM251" s="126" t="str">
        <f t="shared" si="22"/>
        <v>Sale of Land (390-**)</v>
      </c>
    </row>
    <row r="252" spans="33:39" x14ac:dyDescent="0.25">
      <c r="AG252" s="126">
        <v>251</v>
      </c>
      <c r="AH252" s="126" t="s">
        <v>1396</v>
      </c>
      <c r="AI252" s="128">
        <f t="shared" si="20"/>
        <v>41214</v>
      </c>
      <c r="AJ252" s="126">
        <f t="shared" si="21"/>
        <v>0</v>
      </c>
      <c r="AK252" s="126">
        <f t="array" ref="AK252">INDEX($P$3:$P$24,MATCH(AM252&amp;YEAR(AI252),$A$3:$A$24&amp;YEAR($B$3:$B$24),0))</f>
        <v>21934381</v>
      </c>
      <c r="AL252" s="126" t="s">
        <v>1398</v>
      </c>
      <c r="AM252" s="126" t="str">
        <f t="shared" si="22"/>
        <v>Sale of Land (390-**)</v>
      </c>
    </row>
    <row r="253" spans="33:39" x14ac:dyDescent="0.25">
      <c r="AG253" s="126">
        <v>252</v>
      </c>
      <c r="AH253" s="126" t="s">
        <v>1396</v>
      </c>
      <c r="AI253" s="128">
        <f t="shared" si="20"/>
        <v>41244</v>
      </c>
      <c r="AJ253" s="126">
        <f t="shared" si="21"/>
        <v>0</v>
      </c>
      <c r="AK253" s="126">
        <f t="array" ref="AK253">INDEX($P$3:$P$24,MATCH(AM253&amp;YEAR(AI253),$A$3:$A$24&amp;YEAR($B$3:$B$24),0))</f>
        <v>21934381</v>
      </c>
      <c r="AL253" s="126" t="s">
        <v>1398</v>
      </c>
      <c r="AM253" s="126" t="str">
        <f t="shared" si="22"/>
        <v>Sale of Land (390-**)</v>
      </c>
    </row>
    <row r="254" spans="33:39" x14ac:dyDescent="0.25">
      <c r="AG254" s="126">
        <v>253</v>
      </c>
      <c r="AH254" s="126" t="s">
        <v>1396</v>
      </c>
      <c r="AI254" s="128">
        <f t="shared" si="20"/>
        <v>41275</v>
      </c>
      <c r="AJ254" s="126">
        <f t="shared" si="21"/>
        <v>0</v>
      </c>
      <c r="AK254" s="126">
        <f t="array" ref="AK254">INDEX($P$3:$P$24,MATCH(AM254&amp;YEAR(AI254),$A$3:$A$24&amp;YEAR($B$3:$B$24),0))</f>
        <v>0</v>
      </c>
      <c r="AL254" s="126" t="s">
        <v>1398</v>
      </c>
      <c r="AM254" s="126" t="str">
        <f t="shared" si="22"/>
        <v>Sale of Land (390-**)</v>
      </c>
    </row>
    <row r="255" spans="33:39" x14ac:dyDescent="0.25">
      <c r="AG255" s="126">
        <v>254</v>
      </c>
      <c r="AH255" s="126" t="s">
        <v>1396</v>
      </c>
      <c r="AI255" s="128">
        <f t="shared" si="20"/>
        <v>41306</v>
      </c>
      <c r="AJ255" s="126">
        <f t="shared" si="21"/>
        <v>0</v>
      </c>
      <c r="AK255" s="126">
        <f t="array" ref="AK255">INDEX($P$3:$P$24,MATCH(AM255&amp;YEAR(AI255),$A$3:$A$24&amp;YEAR($B$3:$B$24),0))</f>
        <v>0</v>
      </c>
      <c r="AL255" s="126" t="s">
        <v>1398</v>
      </c>
      <c r="AM255" s="126" t="str">
        <f t="shared" si="22"/>
        <v>Sale of Land (390-**)</v>
      </c>
    </row>
    <row r="256" spans="33:39" x14ac:dyDescent="0.25">
      <c r="AG256" s="126">
        <v>255</v>
      </c>
      <c r="AH256" s="126" t="s">
        <v>1396</v>
      </c>
      <c r="AI256" s="128">
        <f t="shared" si="20"/>
        <v>41334</v>
      </c>
      <c r="AJ256" s="126">
        <f t="shared" si="21"/>
        <v>0</v>
      </c>
      <c r="AK256" s="126">
        <f t="array" ref="AK256">INDEX($P$3:$P$24,MATCH(AM256&amp;YEAR(AI256),$A$3:$A$24&amp;YEAR($B$3:$B$24),0))</f>
        <v>0</v>
      </c>
      <c r="AL256" s="126" t="s">
        <v>1398</v>
      </c>
      <c r="AM256" s="126" t="str">
        <f t="shared" si="22"/>
        <v>Sale of Land (390-**)</v>
      </c>
    </row>
    <row r="257" spans="32:39" x14ac:dyDescent="0.25">
      <c r="AG257" s="126">
        <v>256</v>
      </c>
      <c r="AH257" s="126" t="s">
        <v>1396</v>
      </c>
      <c r="AI257" s="128">
        <f t="shared" si="20"/>
        <v>41365</v>
      </c>
      <c r="AJ257" s="126">
        <f t="shared" si="21"/>
        <v>0</v>
      </c>
      <c r="AK257" s="126">
        <f t="array" ref="AK257">INDEX($P$3:$P$24,MATCH(AM257&amp;YEAR(AI257),$A$3:$A$24&amp;YEAR($B$3:$B$24),0))</f>
        <v>0</v>
      </c>
      <c r="AL257" s="126" t="s">
        <v>1398</v>
      </c>
      <c r="AM257" s="126" t="str">
        <f t="shared" si="22"/>
        <v>Sale of Land (390-**)</v>
      </c>
    </row>
    <row r="258" spans="32:39" x14ac:dyDescent="0.25">
      <c r="AG258" s="126">
        <v>257</v>
      </c>
      <c r="AH258" s="126" t="s">
        <v>1396</v>
      </c>
      <c r="AI258" s="128">
        <f t="shared" ref="AI258:AI265" si="23">DATE(YEAR(INDEX($B$2:$N$24,INT((AG258+11)/12)+1,1)),IF(MOD(AG258,12)&lt;&gt;0,MOD(AG258,12),12),1)</f>
        <v>41395</v>
      </c>
      <c r="AJ258" s="126">
        <f t="shared" ref="AJ258:AJ265" si="24">INDEX($C$3:$N$24,INT((AG258+11)/12),AG258-(12*(INT((AG258+11)/12)-1)))</f>
        <v>0</v>
      </c>
      <c r="AK258" s="126">
        <f t="array" ref="AK258">INDEX($P$3:$P$24,MATCH(AM258&amp;YEAR(AI258),$A$3:$A$24&amp;YEAR($B$3:$B$24),0))</f>
        <v>0</v>
      </c>
      <c r="AL258" s="126" t="s">
        <v>1398</v>
      </c>
      <c r="AM258" s="126" t="str">
        <f t="shared" ref="AM258:AM265" si="25">INDEX($A$3:$A$24,INT((AG258+11)/12))</f>
        <v>Sale of Land (390-**)</v>
      </c>
    </row>
    <row r="259" spans="32:39" x14ac:dyDescent="0.25">
      <c r="AG259" s="126">
        <v>258</v>
      </c>
      <c r="AH259" s="126" t="s">
        <v>1396</v>
      </c>
      <c r="AI259" s="128">
        <f t="shared" si="23"/>
        <v>41426</v>
      </c>
      <c r="AJ259" s="126">
        <f t="shared" si="24"/>
        <v>0</v>
      </c>
      <c r="AK259" s="126">
        <f t="array" ref="AK259">INDEX($P$3:$P$24,MATCH(AM259&amp;YEAR(AI259),$A$3:$A$24&amp;YEAR($B$3:$B$24),0))</f>
        <v>0</v>
      </c>
      <c r="AL259" s="126" t="s">
        <v>1398</v>
      </c>
      <c r="AM259" s="126" t="str">
        <f t="shared" si="25"/>
        <v>Sale of Land (390-**)</v>
      </c>
    </row>
    <row r="260" spans="32:39" x14ac:dyDescent="0.25">
      <c r="AG260" s="126">
        <v>259</v>
      </c>
      <c r="AH260" s="126" t="s">
        <v>1396</v>
      </c>
      <c r="AI260" s="128">
        <f t="shared" si="23"/>
        <v>41456</v>
      </c>
      <c r="AJ260" s="126">
        <f t="shared" si="24"/>
        <v>0</v>
      </c>
      <c r="AK260" s="126">
        <f t="array" ref="AK260">INDEX($P$3:$P$24,MATCH(AM260&amp;YEAR(AI260),$A$3:$A$24&amp;YEAR($B$3:$B$24),0))</f>
        <v>0</v>
      </c>
      <c r="AL260" s="126" t="s">
        <v>1398</v>
      </c>
      <c r="AM260" s="126" t="str">
        <f t="shared" si="25"/>
        <v>Sale of Land (390-**)</v>
      </c>
    </row>
    <row r="261" spans="32:39" x14ac:dyDescent="0.25">
      <c r="AG261" s="126">
        <v>260</v>
      </c>
      <c r="AH261" s="126" t="s">
        <v>1396</v>
      </c>
      <c r="AI261" s="128">
        <f t="shared" si="23"/>
        <v>41487</v>
      </c>
      <c r="AJ261" s="126">
        <f t="shared" si="24"/>
        <v>0</v>
      </c>
      <c r="AK261" s="126">
        <f t="array" ref="AK261">INDEX($P$3:$P$24,MATCH(AM261&amp;YEAR(AI261),$A$3:$A$24&amp;YEAR($B$3:$B$24),0))</f>
        <v>0</v>
      </c>
      <c r="AL261" s="126" t="s">
        <v>1398</v>
      </c>
      <c r="AM261" s="126" t="str">
        <f t="shared" si="25"/>
        <v>Sale of Land (390-**)</v>
      </c>
    </row>
    <row r="262" spans="32:39" x14ac:dyDescent="0.25">
      <c r="AG262" s="126">
        <v>261</v>
      </c>
      <c r="AH262" s="126" t="s">
        <v>1396</v>
      </c>
      <c r="AI262" s="128">
        <f t="shared" si="23"/>
        <v>41518</v>
      </c>
      <c r="AJ262" s="126">
        <f t="shared" si="24"/>
        <v>0</v>
      </c>
      <c r="AK262" s="126">
        <f t="array" ref="AK262">INDEX($P$3:$P$24,MATCH(AM262&amp;YEAR(AI262),$A$3:$A$24&amp;YEAR($B$3:$B$24),0))</f>
        <v>0</v>
      </c>
      <c r="AL262" s="126" t="s">
        <v>1398</v>
      </c>
      <c r="AM262" s="126" t="str">
        <f t="shared" si="25"/>
        <v>Sale of Land (390-**)</v>
      </c>
    </row>
    <row r="263" spans="32:39" x14ac:dyDescent="0.25">
      <c r="AG263" s="126">
        <v>262</v>
      </c>
      <c r="AH263" s="126" t="s">
        <v>1396</v>
      </c>
      <c r="AI263" s="128">
        <f t="shared" si="23"/>
        <v>41548</v>
      </c>
      <c r="AJ263" s="126">
        <f t="shared" si="24"/>
        <v>0</v>
      </c>
      <c r="AK263" s="126">
        <f t="array" ref="AK263">INDEX($P$3:$P$24,MATCH(AM263&amp;YEAR(AI263),$A$3:$A$24&amp;YEAR($B$3:$B$24),0))</f>
        <v>0</v>
      </c>
      <c r="AL263" s="126" t="s">
        <v>1398</v>
      </c>
      <c r="AM263" s="126" t="str">
        <f t="shared" si="25"/>
        <v>Sale of Land (390-**)</v>
      </c>
    </row>
    <row r="264" spans="32:39" x14ac:dyDescent="0.25">
      <c r="AG264" s="126">
        <v>263</v>
      </c>
      <c r="AH264" s="126" t="s">
        <v>1396</v>
      </c>
      <c r="AI264" s="128">
        <f t="shared" si="23"/>
        <v>41579</v>
      </c>
      <c r="AJ264" s="126">
        <f t="shared" si="24"/>
        <v>0</v>
      </c>
      <c r="AK264" s="126">
        <f t="array" ref="AK264">INDEX($P$3:$P$24,MATCH(AM264&amp;YEAR(AI264),$A$3:$A$24&amp;YEAR($B$3:$B$24),0))</f>
        <v>0</v>
      </c>
      <c r="AL264" s="126" t="s">
        <v>1398</v>
      </c>
      <c r="AM264" s="126" t="str">
        <f t="shared" si="25"/>
        <v>Sale of Land (390-**)</v>
      </c>
    </row>
    <row r="265" spans="32:39" x14ac:dyDescent="0.25">
      <c r="AG265" s="126">
        <v>264</v>
      </c>
      <c r="AH265" s="126" t="s">
        <v>1396</v>
      </c>
      <c r="AI265" s="128">
        <f t="shared" si="23"/>
        <v>41609</v>
      </c>
      <c r="AJ265" s="126">
        <f t="shared" si="24"/>
        <v>0</v>
      </c>
      <c r="AK265" s="126">
        <f t="array" ref="AK265">INDEX($P$3:$P$24,MATCH(AM265&amp;YEAR(AI265),$A$3:$A$24&amp;YEAR($B$3:$B$24),0))</f>
        <v>0</v>
      </c>
      <c r="AL265" s="126" t="s">
        <v>1398</v>
      </c>
      <c r="AM265" s="126" t="str">
        <f t="shared" si="25"/>
        <v>Sale of Land (390-**)</v>
      </c>
    </row>
    <row r="266" spans="32:39" x14ac:dyDescent="0.25">
      <c r="AF266" s="126">
        <f>5*12</f>
        <v>60</v>
      </c>
      <c r="AG266" s="126">
        <v>1</v>
      </c>
      <c r="AH266" s="126" t="s">
        <v>1396</v>
      </c>
      <c r="AI266" s="128">
        <f t="shared" ref="AI266:AI297" si="26">DATE(YEAR(INDEX($B$30:$N$35,INT((AG266+11)/12)+1,1)),IF(MOD(AG266,12)&lt;&gt;0,MOD(AG266,12),12),1)</f>
        <v>41275</v>
      </c>
      <c r="AJ266" s="126">
        <f t="shared" ref="AJ266:AJ297" si="27">INDEX($C$31:$N$35,INT((AG266+11)/12),AG266-(12*(INT((AG266+11)/12)-1)))</f>
        <v>0</v>
      </c>
      <c r="AK266" s="126">
        <f t="array" ref="AK266">INDEX($P$31:$P$35,MATCH(AM266&amp;YEAR(AI266),$A$31:$A$35&amp;YEAR($B$31:$B$35),0))</f>
        <v>237429</v>
      </c>
      <c r="AL266" s="126" t="s">
        <v>1397</v>
      </c>
      <c r="AM266" s="126" t="str">
        <f t="shared" ref="AM266:AM297" si="28">INDEX($A$31:$A$35,INT((AG266+11)/12))</f>
        <v>Intergovernment Revenue (330-**)</v>
      </c>
    </row>
    <row r="267" spans="32:39" x14ac:dyDescent="0.25">
      <c r="AG267" s="126">
        <v>2</v>
      </c>
      <c r="AH267" s="126" t="s">
        <v>1396</v>
      </c>
      <c r="AI267" s="128">
        <f t="shared" si="26"/>
        <v>41306</v>
      </c>
      <c r="AJ267" s="126">
        <f t="shared" si="27"/>
        <v>0</v>
      </c>
      <c r="AK267" s="126">
        <f t="array" ref="AK267">INDEX($P$31:$P$35,MATCH(AM267&amp;YEAR(AI267),$A$31:$A$35&amp;YEAR($B$31:$B$35),0))</f>
        <v>237429</v>
      </c>
      <c r="AL267" s="126" t="s">
        <v>1397</v>
      </c>
      <c r="AM267" s="126" t="str">
        <f t="shared" si="28"/>
        <v>Intergovernment Revenue (330-**)</v>
      </c>
    </row>
    <row r="268" spans="32:39" x14ac:dyDescent="0.25">
      <c r="AG268" s="126">
        <v>3</v>
      </c>
      <c r="AH268" s="126" t="s">
        <v>1396</v>
      </c>
      <c r="AI268" s="128">
        <f t="shared" si="26"/>
        <v>41334</v>
      </c>
      <c r="AJ268" s="126">
        <f t="shared" si="27"/>
        <v>0</v>
      </c>
      <c r="AK268" s="126">
        <f t="array" ref="AK268">INDEX($P$31:$P$35,MATCH(AM268&amp;YEAR(AI268),$A$31:$A$35&amp;YEAR($B$31:$B$35),0))</f>
        <v>237429</v>
      </c>
      <c r="AL268" s="126" t="s">
        <v>1397</v>
      </c>
      <c r="AM268" s="126" t="str">
        <f t="shared" si="28"/>
        <v>Intergovernment Revenue (330-**)</v>
      </c>
    </row>
    <row r="269" spans="32:39" x14ac:dyDescent="0.25">
      <c r="AG269" s="126">
        <v>4</v>
      </c>
      <c r="AH269" s="126" t="s">
        <v>1396</v>
      </c>
      <c r="AI269" s="128">
        <f t="shared" si="26"/>
        <v>41365</v>
      </c>
      <c r="AJ269" s="126">
        <f t="shared" si="27"/>
        <v>0</v>
      </c>
      <c r="AK269" s="126">
        <f t="array" ref="AK269">INDEX($P$31:$P$35,MATCH(AM269&amp;YEAR(AI269),$A$31:$A$35&amp;YEAR($B$31:$B$35),0))</f>
        <v>237429</v>
      </c>
      <c r="AL269" s="126" t="s">
        <v>1397</v>
      </c>
      <c r="AM269" s="126" t="str">
        <f t="shared" si="28"/>
        <v>Intergovernment Revenue (330-**)</v>
      </c>
    </row>
    <row r="270" spans="32:39" x14ac:dyDescent="0.25">
      <c r="AG270" s="126">
        <v>5</v>
      </c>
      <c r="AH270" s="126" t="s">
        <v>1396</v>
      </c>
      <c r="AI270" s="128">
        <f t="shared" si="26"/>
        <v>41395</v>
      </c>
      <c r="AJ270" s="126">
        <f t="shared" si="27"/>
        <v>114241.33</v>
      </c>
      <c r="AK270" s="126">
        <f t="array" ref="AK270">INDEX($P$31:$P$35,MATCH(AM270&amp;YEAR(AI270),$A$31:$A$35&amp;YEAR($B$31:$B$35),0))</f>
        <v>237429</v>
      </c>
      <c r="AL270" s="126" t="s">
        <v>1397</v>
      </c>
      <c r="AM270" s="126" t="str">
        <f t="shared" si="28"/>
        <v>Intergovernment Revenue (330-**)</v>
      </c>
    </row>
    <row r="271" spans="32:39" x14ac:dyDescent="0.25">
      <c r="AG271" s="126">
        <v>6</v>
      </c>
      <c r="AH271" s="126" t="s">
        <v>1396</v>
      </c>
      <c r="AI271" s="128">
        <f t="shared" si="26"/>
        <v>41426</v>
      </c>
      <c r="AJ271" s="126">
        <f t="shared" si="27"/>
        <v>0</v>
      </c>
      <c r="AK271" s="126">
        <f t="array" ref="AK271">INDEX($P$31:$P$35,MATCH(AM271&amp;YEAR(AI271),$A$31:$A$35&amp;YEAR($B$31:$B$35),0))</f>
        <v>237429</v>
      </c>
      <c r="AL271" s="126" t="s">
        <v>1397</v>
      </c>
      <c r="AM271" s="126" t="str">
        <f t="shared" si="28"/>
        <v>Intergovernment Revenue (330-**)</v>
      </c>
    </row>
    <row r="272" spans="32:39" x14ac:dyDescent="0.25">
      <c r="AG272" s="126">
        <v>7</v>
      </c>
      <c r="AH272" s="126" t="s">
        <v>1396</v>
      </c>
      <c r="AI272" s="128">
        <f t="shared" si="26"/>
        <v>41456</v>
      </c>
      <c r="AJ272" s="126">
        <f t="shared" si="27"/>
        <v>0</v>
      </c>
      <c r="AK272" s="126">
        <f t="array" ref="AK272">INDEX($P$31:$P$35,MATCH(AM272&amp;YEAR(AI272),$A$31:$A$35&amp;YEAR($B$31:$B$35),0))</f>
        <v>237429</v>
      </c>
      <c r="AL272" s="126" t="s">
        <v>1397</v>
      </c>
      <c r="AM272" s="126" t="str">
        <f t="shared" si="28"/>
        <v>Intergovernment Revenue (330-**)</v>
      </c>
    </row>
    <row r="273" spans="33:39" x14ac:dyDescent="0.25">
      <c r="AG273" s="126">
        <v>8</v>
      </c>
      <c r="AH273" s="126" t="s">
        <v>1396</v>
      </c>
      <c r="AI273" s="128">
        <f t="shared" si="26"/>
        <v>41487</v>
      </c>
      <c r="AJ273" s="126">
        <f t="shared" si="27"/>
        <v>0</v>
      </c>
      <c r="AK273" s="126">
        <f t="array" ref="AK273">INDEX($P$31:$P$35,MATCH(AM273&amp;YEAR(AI273),$A$31:$A$35&amp;YEAR($B$31:$B$35),0))</f>
        <v>237429</v>
      </c>
      <c r="AL273" s="126" t="s">
        <v>1397</v>
      </c>
      <c r="AM273" s="126" t="str">
        <f t="shared" si="28"/>
        <v>Intergovernment Revenue (330-**)</v>
      </c>
    </row>
    <row r="274" spans="33:39" x14ac:dyDescent="0.25">
      <c r="AG274" s="126">
        <v>9</v>
      </c>
      <c r="AH274" s="126" t="s">
        <v>1396</v>
      </c>
      <c r="AI274" s="128">
        <f t="shared" si="26"/>
        <v>41518</v>
      </c>
      <c r="AJ274" s="126">
        <f t="shared" si="27"/>
        <v>0</v>
      </c>
      <c r="AK274" s="126">
        <f t="array" ref="AK274">INDEX($P$31:$P$35,MATCH(AM274&amp;YEAR(AI274),$A$31:$A$35&amp;YEAR($B$31:$B$35),0))</f>
        <v>237429</v>
      </c>
      <c r="AL274" s="126" t="s">
        <v>1397</v>
      </c>
      <c r="AM274" s="126" t="str">
        <f t="shared" si="28"/>
        <v>Intergovernment Revenue (330-**)</v>
      </c>
    </row>
    <row r="275" spans="33:39" x14ac:dyDescent="0.25">
      <c r="AG275" s="126">
        <v>10</v>
      </c>
      <c r="AH275" s="126" t="s">
        <v>1396</v>
      </c>
      <c r="AI275" s="128">
        <f t="shared" si="26"/>
        <v>41548</v>
      </c>
      <c r="AJ275" s="126">
        <f t="shared" si="27"/>
        <v>0</v>
      </c>
      <c r="AK275" s="126">
        <f t="array" ref="AK275">INDEX($P$31:$P$35,MATCH(AM275&amp;YEAR(AI275),$A$31:$A$35&amp;YEAR($B$31:$B$35),0))</f>
        <v>237429</v>
      </c>
      <c r="AL275" s="126" t="s">
        <v>1397</v>
      </c>
      <c r="AM275" s="126" t="str">
        <f t="shared" si="28"/>
        <v>Intergovernment Revenue (330-**)</v>
      </c>
    </row>
    <row r="276" spans="33:39" x14ac:dyDescent="0.25">
      <c r="AG276" s="126">
        <v>11</v>
      </c>
      <c r="AH276" s="126" t="s">
        <v>1396</v>
      </c>
      <c r="AI276" s="128">
        <f t="shared" si="26"/>
        <v>41579</v>
      </c>
      <c r="AJ276" s="126">
        <f t="shared" si="27"/>
        <v>0</v>
      </c>
      <c r="AK276" s="126">
        <f t="array" ref="AK276">INDEX($P$31:$P$35,MATCH(AM276&amp;YEAR(AI276),$A$31:$A$35&amp;YEAR($B$31:$B$35),0))</f>
        <v>237429</v>
      </c>
      <c r="AL276" s="126" t="s">
        <v>1397</v>
      </c>
      <c r="AM276" s="126" t="str">
        <f t="shared" si="28"/>
        <v>Intergovernment Revenue (330-**)</v>
      </c>
    </row>
    <row r="277" spans="33:39" x14ac:dyDescent="0.25">
      <c r="AG277" s="126">
        <v>12</v>
      </c>
      <c r="AH277" s="126" t="s">
        <v>1396</v>
      </c>
      <c r="AI277" s="128">
        <f t="shared" si="26"/>
        <v>41609</v>
      </c>
      <c r="AJ277" s="126">
        <f t="shared" si="27"/>
        <v>0</v>
      </c>
      <c r="AK277" s="126">
        <f t="array" ref="AK277">INDEX($P$31:$P$35,MATCH(AM277&amp;YEAR(AI277),$A$31:$A$35&amp;YEAR($B$31:$B$35),0))</f>
        <v>237429</v>
      </c>
      <c r="AL277" s="126" t="s">
        <v>1397</v>
      </c>
      <c r="AM277" s="126" t="str">
        <f t="shared" si="28"/>
        <v>Intergovernment Revenue (330-**)</v>
      </c>
    </row>
    <row r="278" spans="33:39" x14ac:dyDescent="0.25">
      <c r="AG278" s="126">
        <v>13</v>
      </c>
      <c r="AH278" s="126" t="s">
        <v>1396</v>
      </c>
      <c r="AI278" s="128">
        <f t="shared" si="26"/>
        <v>40909</v>
      </c>
      <c r="AJ278" s="126">
        <f t="shared" si="27"/>
        <v>0</v>
      </c>
      <c r="AK278" s="126">
        <f t="array" ref="AK278">INDEX($P$31:$P$35,MATCH(AM278&amp;YEAR(AI278),$A$31:$A$35&amp;YEAR($B$31:$B$35),0))</f>
        <v>0</v>
      </c>
      <c r="AL278" s="126" t="s">
        <v>1397</v>
      </c>
      <c r="AM278" s="126" t="str">
        <f t="shared" si="28"/>
        <v>Interest Earnings (361-*)</v>
      </c>
    </row>
    <row r="279" spans="33:39" x14ac:dyDescent="0.25">
      <c r="AG279" s="126">
        <v>14</v>
      </c>
      <c r="AH279" s="126" t="s">
        <v>1396</v>
      </c>
      <c r="AI279" s="128">
        <f t="shared" si="26"/>
        <v>40940</v>
      </c>
      <c r="AJ279" s="126">
        <f t="shared" si="27"/>
        <v>739.75</v>
      </c>
      <c r="AK279" s="126">
        <f t="array" ref="AK279">INDEX($P$31:$P$35,MATCH(AM279&amp;YEAR(AI279),$A$31:$A$35&amp;YEAR($B$31:$B$35),0))</f>
        <v>0</v>
      </c>
      <c r="AL279" s="126" t="s">
        <v>1397</v>
      </c>
      <c r="AM279" s="126" t="str">
        <f t="shared" si="28"/>
        <v>Interest Earnings (361-*)</v>
      </c>
    </row>
    <row r="280" spans="33:39" x14ac:dyDescent="0.25">
      <c r="AG280" s="126">
        <v>15</v>
      </c>
      <c r="AH280" s="126" t="s">
        <v>1396</v>
      </c>
      <c r="AI280" s="128">
        <f t="shared" si="26"/>
        <v>40969</v>
      </c>
      <c r="AJ280" s="126">
        <f t="shared" si="27"/>
        <v>1052.76</v>
      </c>
      <c r="AK280" s="126">
        <f t="array" ref="AK280">INDEX($P$31:$P$35,MATCH(AM280&amp;YEAR(AI280),$A$31:$A$35&amp;YEAR($B$31:$B$35),0))</f>
        <v>0</v>
      </c>
      <c r="AL280" s="126" t="s">
        <v>1397</v>
      </c>
      <c r="AM280" s="126" t="str">
        <f t="shared" si="28"/>
        <v>Interest Earnings (361-*)</v>
      </c>
    </row>
    <row r="281" spans="33:39" x14ac:dyDescent="0.25">
      <c r="AG281" s="126">
        <v>16</v>
      </c>
      <c r="AH281" s="126" t="s">
        <v>1396</v>
      </c>
      <c r="AI281" s="128">
        <f t="shared" si="26"/>
        <v>41000</v>
      </c>
      <c r="AJ281" s="126">
        <f t="shared" si="27"/>
        <v>1269.5899999999999</v>
      </c>
      <c r="AK281" s="126">
        <f t="array" ref="AK281">INDEX($P$31:$P$35,MATCH(AM281&amp;YEAR(AI281),$A$31:$A$35&amp;YEAR($B$31:$B$35),0))</f>
        <v>0</v>
      </c>
      <c r="AL281" s="126" t="s">
        <v>1397</v>
      </c>
      <c r="AM281" s="126" t="str">
        <f t="shared" si="28"/>
        <v>Interest Earnings (361-*)</v>
      </c>
    </row>
    <row r="282" spans="33:39" x14ac:dyDescent="0.25">
      <c r="AG282" s="126">
        <v>17</v>
      </c>
      <c r="AH282" s="126" t="s">
        <v>1396</v>
      </c>
      <c r="AI282" s="128">
        <f t="shared" si="26"/>
        <v>41030</v>
      </c>
      <c r="AJ282" s="126">
        <f t="shared" si="27"/>
        <v>1558.22</v>
      </c>
      <c r="AK282" s="126">
        <f t="array" ref="AK282">INDEX($P$31:$P$35,MATCH(AM282&amp;YEAR(AI282),$A$31:$A$35&amp;YEAR($B$31:$B$35),0))</f>
        <v>0</v>
      </c>
      <c r="AL282" s="126" t="s">
        <v>1397</v>
      </c>
      <c r="AM282" s="126" t="str">
        <f t="shared" si="28"/>
        <v>Interest Earnings (361-*)</v>
      </c>
    </row>
    <row r="283" spans="33:39" x14ac:dyDescent="0.25">
      <c r="AG283" s="126">
        <v>18</v>
      </c>
      <c r="AH283" s="126" t="s">
        <v>1396</v>
      </c>
      <c r="AI283" s="128">
        <f t="shared" si="26"/>
        <v>41061</v>
      </c>
      <c r="AJ283" s="126">
        <f t="shared" si="27"/>
        <v>1549.29</v>
      </c>
      <c r="AK283" s="126">
        <f t="array" ref="AK283">INDEX($P$31:$P$35,MATCH(AM283&amp;YEAR(AI283),$A$31:$A$35&amp;YEAR($B$31:$B$35),0))</f>
        <v>0</v>
      </c>
      <c r="AL283" s="126" t="s">
        <v>1397</v>
      </c>
      <c r="AM283" s="126" t="str">
        <f t="shared" si="28"/>
        <v>Interest Earnings (361-*)</v>
      </c>
    </row>
    <row r="284" spans="33:39" x14ac:dyDescent="0.25">
      <c r="AG284" s="126">
        <v>19</v>
      </c>
      <c r="AH284" s="126" t="s">
        <v>1396</v>
      </c>
      <c r="AI284" s="128">
        <f t="shared" si="26"/>
        <v>41091</v>
      </c>
      <c r="AJ284" s="126">
        <f t="shared" si="27"/>
        <v>1322.24</v>
      </c>
      <c r="AK284" s="126">
        <f t="array" ref="AK284">INDEX($P$31:$P$35,MATCH(AM284&amp;YEAR(AI284),$A$31:$A$35&amp;YEAR($B$31:$B$35),0))</f>
        <v>0</v>
      </c>
      <c r="AL284" s="126" t="s">
        <v>1397</v>
      </c>
      <c r="AM284" s="126" t="str">
        <f t="shared" si="28"/>
        <v>Interest Earnings (361-*)</v>
      </c>
    </row>
    <row r="285" spans="33:39" x14ac:dyDescent="0.25">
      <c r="AG285" s="126">
        <v>20</v>
      </c>
      <c r="AH285" s="126" t="s">
        <v>1396</v>
      </c>
      <c r="AI285" s="128">
        <f t="shared" si="26"/>
        <v>41122</v>
      </c>
      <c r="AJ285" s="126">
        <f t="shared" si="27"/>
        <v>1573.63</v>
      </c>
      <c r="AK285" s="126">
        <f t="array" ref="AK285">INDEX($P$31:$P$35,MATCH(AM285&amp;YEAR(AI285),$A$31:$A$35&amp;YEAR($B$31:$B$35),0))</f>
        <v>0</v>
      </c>
      <c r="AL285" s="126" t="s">
        <v>1397</v>
      </c>
      <c r="AM285" s="126" t="str">
        <f t="shared" si="28"/>
        <v>Interest Earnings (361-*)</v>
      </c>
    </row>
    <row r="286" spans="33:39" x14ac:dyDescent="0.25">
      <c r="AG286" s="126">
        <v>21</v>
      </c>
      <c r="AH286" s="126" t="s">
        <v>1396</v>
      </c>
      <c r="AI286" s="128">
        <f t="shared" si="26"/>
        <v>41153</v>
      </c>
      <c r="AJ286" s="126">
        <f t="shared" si="27"/>
        <v>1703.17</v>
      </c>
      <c r="AK286" s="126">
        <f t="array" ref="AK286">INDEX($P$31:$P$35,MATCH(AM286&amp;YEAR(AI286),$A$31:$A$35&amp;YEAR($B$31:$B$35),0))</f>
        <v>0</v>
      </c>
      <c r="AL286" s="126" t="s">
        <v>1397</v>
      </c>
      <c r="AM286" s="126" t="str">
        <f t="shared" si="28"/>
        <v>Interest Earnings (361-*)</v>
      </c>
    </row>
    <row r="287" spans="33:39" x14ac:dyDescent="0.25">
      <c r="AG287" s="126">
        <v>22</v>
      </c>
      <c r="AH287" s="126" t="s">
        <v>1396</v>
      </c>
      <c r="AI287" s="128">
        <f t="shared" si="26"/>
        <v>41183</v>
      </c>
      <c r="AJ287" s="126">
        <f t="shared" si="27"/>
        <v>1880.54</v>
      </c>
      <c r="AK287" s="126">
        <f t="array" ref="AK287">INDEX($P$31:$P$35,MATCH(AM287&amp;YEAR(AI287),$A$31:$A$35&amp;YEAR($B$31:$B$35),0))</f>
        <v>0</v>
      </c>
      <c r="AL287" s="126" t="s">
        <v>1397</v>
      </c>
      <c r="AM287" s="126" t="str">
        <f t="shared" si="28"/>
        <v>Interest Earnings (361-*)</v>
      </c>
    </row>
    <row r="288" spans="33:39" x14ac:dyDescent="0.25">
      <c r="AG288" s="126">
        <v>23</v>
      </c>
      <c r="AH288" s="126" t="s">
        <v>1396</v>
      </c>
      <c r="AI288" s="128">
        <f t="shared" si="26"/>
        <v>41214</v>
      </c>
      <c r="AJ288" s="126">
        <f t="shared" si="27"/>
        <v>2680.05</v>
      </c>
      <c r="AK288" s="126">
        <f t="array" ref="AK288">INDEX($P$31:$P$35,MATCH(AM288&amp;YEAR(AI288),$A$31:$A$35&amp;YEAR($B$31:$B$35),0))</f>
        <v>0</v>
      </c>
      <c r="AL288" s="126" t="s">
        <v>1397</v>
      </c>
      <c r="AM288" s="126" t="str">
        <f t="shared" si="28"/>
        <v>Interest Earnings (361-*)</v>
      </c>
    </row>
    <row r="289" spans="33:39" x14ac:dyDescent="0.25">
      <c r="AG289" s="126">
        <v>24</v>
      </c>
      <c r="AH289" s="126" t="s">
        <v>1396</v>
      </c>
      <c r="AI289" s="128">
        <f t="shared" si="26"/>
        <v>41244</v>
      </c>
      <c r="AJ289" s="126">
        <f t="shared" si="27"/>
        <v>-4211.5599999999995</v>
      </c>
      <c r="AK289" s="126">
        <f t="array" ref="AK289">INDEX($P$31:$P$35,MATCH(AM289&amp;YEAR(AI289),$A$31:$A$35&amp;YEAR($B$31:$B$35),0))</f>
        <v>0</v>
      </c>
      <c r="AL289" s="126" t="s">
        <v>1397</v>
      </c>
      <c r="AM289" s="126" t="str">
        <f t="shared" si="28"/>
        <v>Interest Earnings (361-*)</v>
      </c>
    </row>
    <row r="290" spans="33:39" x14ac:dyDescent="0.25">
      <c r="AG290" s="126">
        <v>25</v>
      </c>
      <c r="AH290" s="126" t="s">
        <v>1396</v>
      </c>
      <c r="AI290" s="128">
        <f t="shared" si="26"/>
        <v>41275</v>
      </c>
      <c r="AJ290" s="126">
        <f t="shared" si="27"/>
        <v>0</v>
      </c>
      <c r="AK290" s="126">
        <f t="array" ref="AK290">INDEX($P$31:$P$35,MATCH(AM290&amp;YEAR(AI290),$A$31:$A$35&amp;YEAR($B$31:$B$35),0))</f>
        <v>0</v>
      </c>
      <c r="AL290" s="126" t="s">
        <v>1397</v>
      </c>
      <c r="AM290" s="126" t="str">
        <f t="shared" si="28"/>
        <v>Interest Earnings (361-*)</v>
      </c>
    </row>
    <row r="291" spans="33:39" x14ac:dyDescent="0.25">
      <c r="AG291" s="126">
        <v>26</v>
      </c>
      <c r="AH291" s="126" t="s">
        <v>1396</v>
      </c>
      <c r="AI291" s="128">
        <f t="shared" si="26"/>
        <v>41306</v>
      </c>
      <c r="AJ291" s="126">
        <f t="shared" si="27"/>
        <v>3886.42</v>
      </c>
      <c r="AK291" s="126">
        <f t="array" ref="AK291">INDEX($P$31:$P$35,MATCH(AM291&amp;YEAR(AI291),$A$31:$A$35&amp;YEAR($B$31:$B$35),0))</f>
        <v>0</v>
      </c>
      <c r="AL291" s="126" t="s">
        <v>1397</v>
      </c>
      <c r="AM291" s="126" t="str">
        <f t="shared" si="28"/>
        <v>Interest Earnings (361-*)</v>
      </c>
    </row>
    <row r="292" spans="33:39" x14ac:dyDescent="0.25">
      <c r="AG292" s="126">
        <v>27</v>
      </c>
      <c r="AH292" s="126" t="s">
        <v>1396</v>
      </c>
      <c r="AI292" s="128">
        <f t="shared" si="26"/>
        <v>41334</v>
      </c>
      <c r="AJ292" s="126">
        <f t="shared" si="27"/>
        <v>3481</v>
      </c>
      <c r="AK292" s="126">
        <f t="array" ref="AK292">INDEX($P$31:$P$35,MATCH(AM292&amp;YEAR(AI292),$A$31:$A$35&amp;YEAR($B$31:$B$35),0))</f>
        <v>0</v>
      </c>
      <c r="AL292" s="126" t="s">
        <v>1397</v>
      </c>
      <c r="AM292" s="126" t="str">
        <f t="shared" si="28"/>
        <v>Interest Earnings (361-*)</v>
      </c>
    </row>
    <row r="293" spans="33:39" x14ac:dyDescent="0.25">
      <c r="AG293" s="126">
        <v>28</v>
      </c>
      <c r="AH293" s="126" t="s">
        <v>1396</v>
      </c>
      <c r="AI293" s="128">
        <f t="shared" si="26"/>
        <v>41365</v>
      </c>
      <c r="AJ293" s="126">
        <f t="shared" si="27"/>
        <v>3919.18</v>
      </c>
      <c r="AK293" s="126">
        <f t="array" ref="AK293">INDEX($P$31:$P$35,MATCH(AM293&amp;YEAR(AI293),$A$31:$A$35&amp;YEAR($B$31:$B$35),0))</f>
        <v>0</v>
      </c>
      <c r="AL293" s="126" t="s">
        <v>1397</v>
      </c>
      <c r="AM293" s="126" t="str">
        <f t="shared" si="28"/>
        <v>Interest Earnings (361-*)</v>
      </c>
    </row>
    <row r="294" spans="33:39" x14ac:dyDescent="0.25">
      <c r="AG294" s="126">
        <v>29</v>
      </c>
      <c r="AH294" s="126" t="s">
        <v>1396</v>
      </c>
      <c r="AI294" s="128">
        <f t="shared" si="26"/>
        <v>41395</v>
      </c>
      <c r="AJ294" s="126">
        <f t="shared" si="27"/>
        <v>3883.8</v>
      </c>
      <c r="AK294" s="126">
        <f t="array" ref="AK294">INDEX($P$31:$P$35,MATCH(AM294&amp;YEAR(AI294),$A$31:$A$35&amp;YEAR($B$31:$B$35),0))</f>
        <v>0</v>
      </c>
      <c r="AL294" s="126" t="s">
        <v>1397</v>
      </c>
      <c r="AM294" s="126" t="str">
        <f t="shared" si="28"/>
        <v>Interest Earnings (361-*)</v>
      </c>
    </row>
    <row r="295" spans="33:39" x14ac:dyDescent="0.25">
      <c r="AG295" s="126">
        <v>30</v>
      </c>
      <c r="AH295" s="126" t="s">
        <v>1396</v>
      </c>
      <c r="AI295" s="128">
        <f t="shared" si="26"/>
        <v>41426</v>
      </c>
      <c r="AJ295" s="126">
        <f t="shared" si="27"/>
        <v>0</v>
      </c>
      <c r="AK295" s="126">
        <f t="array" ref="AK295">INDEX($P$31:$P$35,MATCH(AM295&amp;YEAR(AI295),$A$31:$A$35&amp;YEAR($B$31:$B$35),0))</f>
        <v>0</v>
      </c>
      <c r="AL295" s="126" t="s">
        <v>1397</v>
      </c>
      <c r="AM295" s="126" t="str">
        <f t="shared" si="28"/>
        <v>Interest Earnings (361-*)</v>
      </c>
    </row>
    <row r="296" spans="33:39" x14ac:dyDescent="0.25">
      <c r="AG296" s="126">
        <v>31</v>
      </c>
      <c r="AH296" s="126" t="s">
        <v>1396</v>
      </c>
      <c r="AI296" s="128">
        <f t="shared" si="26"/>
        <v>41456</v>
      </c>
      <c r="AJ296" s="126">
        <f t="shared" si="27"/>
        <v>0</v>
      </c>
      <c r="AK296" s="126">
        <f t="array" ref="AK296">INDEX($P$31:$P$35,MATCH(AM296&amp;YEAR(AI296),$A$31:$A$35&amp;YEAR($B$31:$B$35),0))</f>
        <v>0</v>
      </c>
      <c r="AL296" s="126" t="s">
        <v>1397</v>
      </c>
      <c r="AM296" s="126" t="str">
        <f t="shared" si="28"/>
        <v>Interest Earnings (361-*)</v>
      </c>
    </row>
    <row r="297" spans="33:39" x14ac:dyDescent="0.25">
      <c r="AG297" s="126">
        <v>32</v>
      </c>
      <c r="AH297" s="126" t="s">
        <v>1396</v>
      </c>
      <c r="AI297" s="128">
        <f t="shared" si="26"/>
        <v>41487</v>
      </c>
      <c r="AJ297" s="126">
        <f t="shared" si="27"/>
        <v>0</v>
      </c>
      <c r="AK297" s="126">
        <f t="array" ref="AK297">INDEX($P$31:$P$35,MATCH(AM297&amp;YEAR(AI297),$A$31:$A$35&amp;YEAR($B$31:$B$35),0))</f>
        <v>0</v>
      </c>
      <c r="AL297" s="126" t="s">
        <v>1397</v>
      </c>
      <c r="AM297" s="126" t="str">
        <f t="shared" si="28"/>
        <v>Interest Earnings (361-*)</v>
      </c>
    </row>
    <row r="298" spans="33:39" x14ac:dyDescent="0.25">
      <c r="AG298" s="126">
        <v>33</v>
      </c>
      <c r="AH298" s="126" t="s">
        <v>1396</v>
      </c>
      <c r="AI298" s="128">
        <f t="shared" ref="AI298:AI325" si="29">DATE(YEAR(INDEX($B$30:$N$35,INT((AG298+11)/12)+1,1)),IF(MOD(AG298,12)&lt;&gt;0,MOD(AG298,12),12),1)</f>
        <v>41518</v>
      </c>
      <c r="AJ298" s="126">
        <f t="shared" ref="AJ298:AJ325" si="30">INDEX($C$31:$N$35,INT((AG298+11)/12),AG298-(12*(INT((AG298+11)/12)-1)))</f>
        <v>0</v>
      </c>
      <c r="AK298" s="126">
        <f t="array" ref="AK298">INDEX($P$31:$P$35,MATCH(AM298&amp;YEAR(AI298),$A$31:$A$35&amp;YEAR($B$31:$B$35),0))</f>
        <v>0</v>
      </c>
      <c r="AL298" s="126" t="s">
        <v>1397</v>
      </c>
      <c r="AM298" s="126" t="str">
        <f t="shared" ref="AM298:AM325" si="31">INDEX($A$31:$A$35,INT((AG298+11)/12))</f>
        <v>Interest Earnings (361-*)</v>
      </c>
    </row>
    <row r="299" spans="33:39" x14ac:dyDescent="0.25">
      <c r="AG299" s="126">
        <v>34</v>
      </c>
      <c r="AH299" s="126" t="s">
        <v>1396</v>
      </c>
      <c r="AI299" s="128">
        <f t="shared" si="29"/>
        <v>41548</v>
      </c>
      <c r="AJ299" s="126">
        <f t="shared" si="30"/>
        <v>0</v>
      </c>
      <c r="AK299" s="126">
        <f t="array" ref="AK299">INDEX($P$31:$P$35,MATCH(AM299&amp;YEAR(AI299),$A$31:$A$35&amp;YEAR($B$31:$B$35),0))</f>
        <v>0</v>
      </c>
      <c r="AL299" s="126" t="s">
        <v>1397</v>
      </c>
      <c r="AM299" s="126" t="str">
        <f t="shared" si="31"/>
        <v>Interest Earnings (361-*)</v>
      </c>
    </row>
    <row r="300" spans="33:39" x14ac:dyDescent="0.25">
      <c r="AG300" s="126">
        <v>35</v>
      </c>
      <c r="AH300" s="126" t="s">
        <v>1396</v>
      </c>
      <c r="AI300" s="128">
        <f t="shared" si="29"/>
        <v>41579</v>
      </c>
      <c r="AJ300" s="126">
        <f t="shared" si="30"/>
        <v>0</v>
      </c>
      <c r="AK300" s="126">
        <f t="array" ref="AK300">INDEX($P$31:$P$35,MATCH(AM300&amp;YEAR(AI300),$A$31:$A$35&amp;YEAR($B$31:$B$35),0))</f>
        <v>0</v>
      </c>
      <c r="AL300" s="126" t="s">
        <v>1397</v>
      </c>
      <c r="AM300" s="126" t="str">
        <f t="shared" si="31"/>
        <v>Interest Earnings (361-*)</v>
      </c>
    </row>
    <row r="301" spans="33:39" x14ac:dyDescent="0.25">
      <c r="AG301" s="126">
        <v>36</v>
      </c>
      <c r="AH301" s="126" t="s">
        <v>1396</v>
      </c>
      <c r="AI301" s="128">
        <f t="shared" si="29"/>
        <v>41609</v>
      </c>
      <c r="AJ301" s="126">
        <f t="shared" si="30"/>
        <v>0</v>
      </c>
      <c r="AK301" s="126">
        <f t="array" ref="AK301">INDEX($P$31:$P$35,MATCH(AM301&amp;YEAR(AI301),$A$31:$A$35&amp;YEAR($B$31:$B$35),0))</f>
        <v>0</v>
      </c>
      <c r="AL301" s="126" t="s">
        <v>1397</v>
      </c>
      <c r="AM301" s="126" t="str">
        <f t="shared" si="31"/>
        <v>Interest Earnings (361-*)</v>
      </c>
    </row>
    <row r="302" spans="33:39" x14ac:dyDescent="0.25">
      <c r="AG302" s="126">
        <v>37</v>
      </c>
      <c r="AH302" s="126" t="s">
        <v>1396</v>
      </c>
      <c r="AI302" s="128">
        <f t="shared" si="29"/>
        <v>40909</v>
      </c>
      <c r="AJ302" s="126">
        <f t="shared" si="30"/>
        <v>148616.32999999999</v>
      </c>
      <c r="AK302" s="126">
        <f t="array" ref="AK302">INDEX($P$31:$P$35,MATCH(AM302&amp;YEAR(AI302),$A$31:$A$35&amp;YEAR($B$31:$B$35),0))</f>
        <v>0</v>
      </c>
      <c r="AL302" s="126" t="s">
        <v>1397</v>
      </c>
      <c r="AM302" s="126" t="str">
        <f t="shared" si="31"/>
        <v>Transfer from Other Funds (370-**)</v>
      </c>
    </row>
    <row r="303" spans="33:39" x14ac:dyDescent="0.25">
      <c r="AG303" s="126">
        <v>38</v>
      </c>
      <c r="AH303" s="126" t="s">
        <v>1396</v>
      </c>
      <c r="AI303" s="128">
        <f t="shared" si="29"/>
        <v>40940</v>
      </c>
      <c r="AJ303" s="126">
        <f t="shared" si="30"/>
        <v>148616.32999999999</v>
      </c>
      <c r="AK303" s="126">
        <f t="array" ref="AK303">INDEX($P$31:$P$35,MATCH(AM303&amp;YEAR(AI303),$A$31:$A$35&amp;YEAR($B$31:$B$35),0))</f>
        <v>0</v>
      </c>
      <c r="AL303" s="126" t="s">
        <v>1397</v>
      </c>
      <c r="AM303" s="126" t="str">
        <f t="shared" si="31"/>
        <v>Transfer from Other Funds (370-**)</v>
      </c>
    </row>
    <row r="304" spans="33:39" x14ac:dyDescent="0.25">
      <c r="AG304" s="126">
        <v>39</v>
      </c>
      <c r="AH304" s="126" t="s">
        <v>1396</v>
      </c>
      <c r="AI304" s="128">
        <f t="shared" si="29"/>
        <v>40969</v>
      </c>
      <c r="AJ304" s="126">
        <f t="shared" si="30"/>
        <v>148616.32999999999</v>
      </c>
      <c r="AK304" s="126">
        <f t="array" ref="AK304">INDEX($P$31:$P$35,MATCH(AM304&amp;YEAR(AI304),$A$31:$A$35&amp;YEAR($B$31:$B$35),0))</f>
        <v>0</v>
      </c>
      <c r="AL304" s="126" t="s">
        <v>1397</v>
      </c>
      <c r="AM304" s="126" t="str">
        <f t="shared" si="31"/>
        <v>Transfer from Other Funds (370-**)</v>
      </c>
    </row>
    <row r="305" spans="33:39" x14ac:dyDescent="0.25">
      <c r="AG305" s="126">
        <v>40</v>
      </c>
      <c r="AH305" s="126" t="s">
        <v>1396</v>
      </c>
      <c r="AI305" s="128">
        <f t="shared" si="29"/>
        <v>41000</v>
      </c>
      <c r="AJ305" s="126">
        <f t="shared" si="30"/>
        <v>148616.32999999999</v>
      </c>
      <c r="AK305" s="126">
        <f t="array" ref="AK305">INDEX($P$31:$P$35,MATCH(AM305&amp;YEAR(AI305),$A$31:$A$35&amp;YEAR($B$31:$B$35),0))</f>
        <v>0</v>
      </c>
      <c r="AL305" s="126" t="s">
        <v>1397</v>
      </c>
      <c r="AM305" s="126" t="str">
        <f t="shared" si="31"/>
        <v>Transfer from Other Funds (370-**)</v>
      </c>
    </row>
    <row r="306" spans="33:39" x14ac:dyDescent="0.25">
      <c r="AG306" s="126">
        <v>41</v>
      </c>
      <c r="AH306" s="126" t="s">
        <v>1396</v>
      </c>
      <c r="AI306" s="128">
        <f t="shared" si="29"/>
        <v>41030</v>
      </c>
      <c r="AJ306" s="126">
        <f t="shared" si="30"/>
        <v>148616.32999999999</v>
      </c>
      <c r="AK306" s="126">
        <f t="array" ref="AK306">INDEX($P$31:$P$35,MATCH(AM306&amp;YEAR(AI306),$A$31:$A$35&amp;YEAR($B$31:$B$35),0))</f>
        <v>0</v>
      </c>
      <c r="AL306" s="126" t="s">
        <v>1397</v>
      </c>
      <c r="AM306" s="126" t="str">
        <f t="shared" si="31"/>
        <v>Transfer from Other Funds (370-**)</v>
      </c>
    </row>
    <row r="307" spans="33:39" x14ac:dyDescent="0.25">
      <c r="AG307" s="126">
        <v>42</v>
      </c>
      <c r="AH307" s="126" t="s">
        <v>1396</v>
      </c>
      <c r="AI307" s="128">
        <f t="shared" si="29"/>
        <v>41061</v>
      </c>
      <c r="AJ307" s="126">
        <f t="shared" si="30"/>
        <v>148616.32999999999</v>
      </c>
      <c r="AK307" s="126">
        <f t="array" ref="AK307">INDEX($P$31:$P$35,MATCH(AM307&amp;YEAR(AI307),$A$31:$A$35&amp;YEAR($B$31:$B$35),0))</f>
        <v>0</v>
      </c>
      <c r="AL307" s="126" t="s">
        <v>1397</v>
      </c>
      <c r="AM307" s="126" t="str">
        <f t="shared" si="31"/>
        <v>Transfer from Other Funds (370-**)</v>
      </c>
    </row>
    <row r="308" spans="33:39" x14ac:dyDescent="0.25">
      <c r="AG308" s="126">
        <v>43</v>
      </c>
      <c r="AH308" s="126" t="s">
        <v>1396</v>
      </c>
      <c r="AI308" s="128">
        <f t="shared" si="29"/>
        <v>41091</v>
      </c>
      <c r="AJ308" s="126">
        <f t="shared" si="30"/>
        <v>148616.32999999999</v>
      </c>
      <c r="AK308" s="126">
        <f t="array" ref="AK308">INDEX($P$31:$P$35,MATCH(AM308&amp;YEAR(AI308),$A$31:$A$35&amp;YEAR($B$31:$B$35),0))</f>
        <v>0</v>
      </c>
      <c r="AL308" s="126" t="s">
        <v>1397</v>
      </c>
      <c r="AM308" s="126" t="str">
        <f t="shared" si="31"/>
        <v>Transfer from Other Funds (370-**)</v>
      </c>
    </row>
    <row r="309" spans="33:39" x14ac:dyDescent="0.25">
      <c r="AG309" s="126">
        <v>44</v>
      </c>
      <c r="AH309" s="126" t="s">
        <v>1396</v>
      </c>
      <c r="AI309" s="128">
        <f t="shared" si="29"/>
        <v>41122</v>
      </c>
      <c r="AJ309" s="126">
        <f t="shared" si="30"/>
        <v>148616.32999999999</v>
      </c>
      <c r="AK309" s="126">
        <f t="array" ref="AK309">INDEX($P$31:$P$35,MATCH(AM309&amp;YEAR(AI309),$A$31:$A$35&amp;YEAR($B$31:$B$35),0))</f>
        <v>0</v>
      </c>
      <c r="AL309" s="126" t="s">
        <v>1397</v>
      </c>
      <c r="AM309" s="126" t="str">
        <f t="shared" si="31"/>
        <v>Transfer from Other Funds (370-**)</v>
      </c>
    </row>
    <row r="310" spans="33:39" x14ac:dyDescent="0.25">
      <c r="AG310" s="126">
        <v>45</v>
      </c>
      <c r="AH310" s="126" t="s">
        <v>1396</v>
      </c>
      <c r="AI310" s="128">
        <f t="shared" si="29"/>
        <v>41153</v>
      </c>
      <c r="AJ310" s="126">
        <f t="shared" si="30"/>
        <v>148616.32999999999</v>
      </c>
      <c r="AK310" s="126">
        <f t="array" ref="AK310">INDEX($P$31:$P$35,MATCH(AM310&amp;YEAR(AI310),$A$31:$A$35&amp;YEAR($B$31:$B$35),0))</f>
        <v>0</v>
      </c>
      <c r="AL310" s="126" t="s">
        <v>1397</v>
      </c>
      <c r="AM310" s="126" t="str">
        <f t="shared" si="31"/>
        <v>Transfer from Other Funds (370-**)</v>
      </c>
    </row>
    <row r="311" spans="33:39" x14ac:dyDescent="0.25">
      <c r="AG311" s="126">
        <v>46</v>
      </c>
      <c r="AH311" s="126" t="s">
        <v>1396</v>
      </c>
      <c r="AI311" s="128">
        <f t="shared" si="29"/>
        <v>41183</v>
      </c>
      <c r="AJ311" s="126">
        <f t="shared" si="30"/>
        <v>934685.64</v>
      </c>
      <c r="AK311" s="126">
        <f t="array" ref="AK311">INDEX($P$31:$P$35,MATCH(AM311&amp;YEAR(AI311),$A$31:$A$35&amp;YEAR($B$31:$B$35),0))</f>
        <v>0</v>
      </c>
      <c r="AL311" s="126" t="s">
        <v>1397</v>
      </c>
      <c r="AM311" s="126" t="str">
        <f t="shared" si="31"/>
        <v>Transfer from Other Funds (370-**)</v>
      </c>
    </row>
    <row r="312" spans="33:39" x14ac:dyDescent="0.25">
      <c r="AG312" s="126">
        <v>47</v>
      </c>
      <c r="AH312" s="126" t="s">
        <v>1396</v>
      </c>
      <c r="AI312" s="128">
        <f t="shared" si="29"/>
        <v>41214</v>
      </c>
      <c r="AJ312" s="126">
        <f t="shared" si="30"/>
        <v>187683.61</v>
      </c>
      <c r="AK312" s="126">
        <f t="array" ref="AK312">INDEX($P$31:$P$35,MATCH(AM312&amp;YEAR(AI312),$A$31:$A$35&amp;YEAR($B$31:$B$35),0))</f>
        <v>0</v>
      </c>
      <c r="AL312" s="126" t="s">
        <v>1397</v>
      </c>
      <c r="AM312" s="126" t="str">
        <f t="shared" si="31"/>
        <v>Transfer from Other Funds (370-**)</v>
      </c>
    </row>
    <row r="313" spans="33:39" x14ac:dyDescent="0.25">
      <c r="AG313" s="126">
        <v>48</v>
      </c>
      <c r="AH313" s="126" t="s">
        <v>1396</v>
      </c>
      <c r="AI313" s="128">
        <f t="shared" si="29"/>
        <v>41244</v>
      </c>
      <c r="AJ313" s="126">
        <f t="shared" si="30"/>
        <v>187683.61</v>
      </c>
      <c r="AK313" s="126">
        <f t="array" ref="AK313">INDEX($P$31:$P$35,MATCH(AM313&amp;YEAR(AI313),$A$31:$A$35&amp;YEAR($B$31:$B$35),0))</f>
        <v>0</v>
      </c>
      <c r="AL313" s="126" t="s">
        <v>1397</v>
      </c>
      <c r="AM313" s="126" t="str">
        <f t="shared" si="31"/>
        <v>Transfer from Other Funds (370-**)</v>
      </c>
    </row>
    <row r="314" spans="33:39" x14ac:dyDescent="0.25">
      <c r="AG314" s="126">
        <v>49</v>
      </c>
      <c r="AH314" s="126" t="s">
        <v>1396</v>
      </c>
      <c r="AI314" s="128">
        <f t="shared" si="29"/>
        <v>41275</v>
      </c>
      <c r="AJ314" s="126">
        <f t="shared" si="30"/>
        <v>187683.61</v>
      </c>
      <c r="AK314" s="126">
        <f t="array" ref="AK314">INDEX($P$31:$P$35,MATCH(AM314&amp;YEAR(AI314),$A$31:$A$35&amp;YEAR($B$31:$B$35),0))</f>
        <v>0</v>
      </c>
      <c r="AL314" s="126" t="s">
        <v>1397</v>
      </c>
      <c r="AM314" s="126" t="str">
        <f t="shared" si="31"/>
        <v>Transfer from Other Funds (370-**)</v>
      </c>
    </row>
    <row r="315" spans="33:39" x14ac:dyDescent="0.25">
      <c r="AG315" s="126">
        <v>50</v>
      </c>
      <c r="AH315" s="126" t="s">
        <v>1396</v>
      </c>
      <c r="AI315" s="128">
        <f t="shared" si="29"/>
        <v>41306</v>
      </c>
      <c r="AJ315" s="126">
        <f t="shared" si="30"/>
        <v>187683.61</v>
      </c>
      <c r="AK315" s="126">
        <f t="array" ref="AK315">INDEX($P$31:$P$35,MATCH(AM315&amp;YEAR(AI315),$A$31:$A$35&amp;YEAR($B$31:$B$35),0))</f>
        <v>0</v>
      </c>
      <c r="AL315" s="126" t="s">
        <v>1397</v>
      </c>
      <c r="AM315" s="126" t="str">
        <f t="shared" si="31"/>
        <v>Transfer from Other Funds (370-**)</v>
      </c>
    </row>
    <row r="316" spans="33:39" x14ac:dyDescent="0.25">
      <c r="AG316" s="126">
        <v>51</v>
      </c>
      <c r="AH316" s="126" t="s">
        <v>1396</v>
      </c>
      <c r="AI316" s="128">
        <f t="shared" si="29"/>
        <v>41334</v>
      </c>
      <c r="AJ316" s="126">
        <f t="shared" si="30"/>
        <v>188285.53</v>
      </c>
      <c r="AK316" s="126">
        <f t="array" ref="AK316">INDEX($P$31:$P$35,MATCH(AM316&amp;YEAR(AI316),$A$31:$A$35&amp;YEAR($B$31:$B$35),0))</f>
        <v>0</v>
      </c>
      <c r="AL316" s="126" t="s">
        <v>1397</v>
      </c>
      <c r="AM316" s="126" t="str">
        <f t="shared" si="31"/>
        <v>Transfer from Other Funds (370-**)</v>
      </c>
    </row>
    <row r="317" spans="33:39" x14ac:dyDescent="0.25">
      <c r="AG317" s="126">
        <v>52</v>
      </c>
      <c r="AH317" s="126" t="s">
        <v>1396</v>
      </c>
      <c r="AI317" s="128">
        <f t="shared" si="29"/>
        <v>41365</v>
      </c>
      <c r="AJ317" s="126">
        <f t="shared" si="30"/>
        <v>188285.53</v>
      </c>
      <c r="AK317" s="126">
        <f t="array" ref="AK317">INDEX($P$31:$P$35,MATCH(AM317&amp;YEAR(AI317),$A$31:$A$35&amp;YEAR($B$31:$B$35),0))</f>
        <v>0</v>
      </c>
      <c r="AL317" s="126" t="s">
        <v>1397</v>
      </c>
      <c r="AM317" s="126" t="str">
        <f t="shared" si="31"/>
        <v>Transfer from Other Funds (370-**)</v>
      </c>
    </row>
    <row r="318" spans="33:39" x14ac:dyDescent="0.25">
      <c r="AG318" s="126">
        <v>53</v>
      </c>
      <c r="AH318" s="126" t="s">
        <v>1396</v>
      </c>
      <c r="AI318" s="128">
        <f t="shared" si="29"/>
        <v>41395</v>
      </c>
      <c r="AJ318" s="126">
        <f t="shared" si="30"/>
        <v>188285.53</v>
      </c>
      <c r="AK318" s="126">
        <f t="array" ref="AK318">INDEX($P$31:$P$35,MATCH(AM318&amp;YEAR(AI318),$A$31:$A$35&amp;YEAR($B$31:$B$35),0))</f>
        <v>0</v>
      </c>
      <c r="AL318" s="126" t="s">
        <v>1397</v>
      </c>
      <c r="AM318" s="126" t="str">
        <f t="shared" si="31"/>
        <v>Transfer from Other Funds (370-**)</v>
      </c>
    </row>
    <row r="319" spans="33:39" x14ac:dyDescent="0.25">
      <c r="AG319" s="126">
        <v>54</v>
      </c>
      <c r="AH319" s="126" t="s">
        <v>1396</v>
      </c>
      <c r="AI319" s="128">
        <f t="shared" si="29"/>
        <v>41426</v>
      </c>
      <c r="AJ319" s="126">
        <f t="shared" si="30"/>
        <v>0</v>
      </c>
      <c r="AK319" s="126">
        <f t="array" ref="AK319">INDEX($P$31:$P$35,MATCH(AM319&amp;YEAR(AI319),$A$31:$A$35&amp;YEAR($B$31:$B$35),0))</f>
        <v>0</v>
      </c>
      <c r="AL319" s="126" t="s">
        <v>1397</v>
      </c>
      <c r="AM319" s="126" t="str">
        <f t="shared" si="31"/>
        <v>Transfer from Other Funds (370-**)</v>
      </c>
    </row>
    <row r="320" spans="33:39" x14ac:dyDescent="0.25">
      <c r="AG320" s="126">
        <v>55</v>
      </c>
      <c r="AH320" s="126" t="s">
        <v>1396</v>
      </c>
      <c r="AI320" s="128">
        <f t="shared" si="29"/>
        <v>41456</v>
      </c>
      <c r="AJ320" s="126">
        <f t="shared" si="30"/>
        <v>0</v>
      </c>
      <c r="AK320" s="126">
        <f t="array" ref="AK320">INDEX($P$31:$P$35,MATCH(AM320&amp;YEAR(AI320),$A$31:$A$35&amp;YEAR($B$31:$B$35),0))</f>
        <v>0</v>
      </c>
      <c r="AL320" s="126" t="s">
        <v>1397</v>
      </c>
      <c r="AM320" s="126" t="str">
        <f t="shared" si="31"/>
        <v>Transfer from Other Funds (370-**)</v>
      </c>
    </row>
    <row r="321" spans="32:39" x14ac:dyDescent="0.25">
      <c r="AG321" s="126">
        <v>56</v>
      </c>
      <c r="AH321" s="126" t="s">
        <v>1396</v>
      </c>
      <c r="AI321" s="128">
        <f t="shared" si="29"/>
        <v>41487</v>
      </c>
      <c r="AJ321" s="126">
        <f t="shared" si="30"/>
        <v>0</v>
      </c>
      <c r="AK321" s="126">
        <f t="array" ref="AK321">INDEX($P$31:$P$35,MATCH(AM321&amp;YEAR(AI321),$A$31:$A$35&amp;YEAR($B$31:$B$35),0))</f>
        <v>0</v>
      </c>
      <c r="AL321" s="126" t="s">
        <v>1397</v>
      </c>
      <c r="AM321" s="126" t="str">
        <f t="shared" si="31"/>
        <v>Transfer from Other Funds (370-**)</v>
      </c>
    </row>
    <row r="322" spans="32:39" x14ac:dyDescent="0.25">
      <c r="AG322" s="126">
        <v>57</v>
      </c>
      <c r="AH322" s="126" t="s">
        <v>1396</v>
      </c>
      <c r="AI322" s="128">
        <f t="shared" si="29"/>
        <v>41518</v>
      </c>
      <c r="AJ322" s="126">
        <f t="shared" si="30"/>
        <v>0</v>
      </c>
      <c r="AK322" s="126">
        <f t="array" ref="AK322">INDEX($P$31:$P$35,MATCH(AM322&amp;YEAR(AI322),$A$31:$A$35&amp;YEAR($B$31:$B$35),0))</f>
        <v>0</v>
      </c>
      <c r="AL322" s="126" t="s">
        <v>1397</v>
      </c>
      <c r="AM322" s="126" t="str">
        <f t="shared" si="31"/>
        <v>Transfer from Other Funds (370-**)</v>
      </c>
    </row>
    <row r="323" spans="32:39" x14ac:dyDescent="0.25">
      <c r="AG323" s="126">
        <v>58</v>
      </c>
      <c r="AH323" s="126" t="s">
        <v>1396</v>
      </c>
      <c r="AI323" s="128">
        <f t="shared" si="29"/>
        <v>41548</v>
      </c>
      <c r="AJ323" s="126">
        <f t="shared" si="30"/>
        <v>0</v>
      </c>
      <c r="AK323" s="126">
        <f t="array" ref="AK323">INDEX($P$31:$P$35,MATCH(AM323&amp;YEAR(AI323),$A$31:$A$35&amp;YEAR($B$31:$B$35),0))</f>
        <v>0</v>
      </c>
      <c r="AL323" s="126" t="s">
        <v>1397</v>
      </c>
      <c r="AM323" s="126" t="str">
        <f t="shared" si="31"/>
        <v>Transfer from Other Funds (370-**)</v>
      </c>
    </row>
    <row r="324" spans="32:39" x14ac:dyDescent="0.25">
      <c r="AG324" s="126">
        <v>59</v>
      </c>
      <c r="AH324" s="126" t="s">
        <v>1396</v>
      </c>
      <c r="AI324" s="128">
        <f t="shared" si="29"/>
        <v>41579</v>
      </c>
      <c r="AJ324" s="126">
        <f t="shared" si="30"/>
        <v>0</v>
      </c>
      <c r="AK324" s="126">
        <f t="array" ref="AK324">INDEX($P$31:$P$35,MATCH(AM324&amp;YEAR(AI324),$A$31:$A$35&amp;YEAR($B$31:$B$35),0))</f>
        <v>0</v>
      </c>
      <c r="AL324" s="126" t="s">
        <v>1397</v>
      </c>
      <c r="AM324" s="126" t="str">
        <f t="shared" si="31"/>
        <v>Transfer from Other Funds (370-**)</v>
      </c>
    </row>
    <row r="325" spans="32:39" x14ac:dyDescent="0.25">
      <c r="AG325" s="126">
        <v>60</v>
      </c>
      <c r="AH325" s="126" t="s">
        <v>1396</v>
      </c>
      <c r="AI325" s="128">
        <f t="shared" si="29"/>
        <v>41609</v>
      </c>
      <c r="AJ325" s="126">
        <f t="shared" si="30"/>
        <v>0</v>
      </c>
      <c r="AK325" s="126">
        <f t="array" ref="AK325">INDEX($P$31:$P$35,MATCH(AM325&amp;YEAR(AI325),$A$31:$A$35&amp;YEAR($B$31:$B$35),0))</f>
        <v>0</v>
      </c>
      <c r="AL325" s="126" t="s">
        <v>1397</v>
      </c>
      <c r="AM325" s="126" t="str">
        <f t="shared" si="31"/>
        <v>Transfer from Other Funds (370-**)</v>
      </c>
    </row>
    <row r="326" spans="32:39" x14ac:dyDescent="0.25">
      <c r="AF326" s="126">
        <f>4*12</f>
        <v>48</v>
      </c>
      <c r="AG326" s="126">
        <v>1</v>
      </c>
      <c r="AH326" s="126" t="s">
        <v>1396</v>
      </c>
      <c r="AI326" s="128">
        <f t="shared" ref="AI326:AI373" si="32">DATE(YEAR(INDEX($B$41:$N$45,INT((AG326+11)/12)+1,1)),IF(MOD(AG326,12)&lt;&gt;0,MOD(AG326,12),12),1)</f>
        <v>40909</v>
      </c>
      <c r="AJ326" s="126">
        <f t="shared" ref="AJ326:AJ373" si="33">INDEX($C$42:$N$45,INT((AG326+11)/12),AG326-(12*(INT((AG326+11)/12)-1)))</f>
        <v>0</v>
      </c>
      <c r="AK326" s="126">
        <f t="array" ref="AK326">INDEX($P$42:$P$45,MATCH(AM326&amp;YEAR(AI326),$A$42:$A$45&amp;YEAR($B$42:$B$45),0))</f>
        <v>0</v>
      </c>
      <c r="AL326" s="126" t="s">
        <v>1395</v>
      </c>
      <c r="AM326" s="126" t="str">
        <f t="shared" ref="AM326:AM373" si="34">INDEX($A$42:$A$45,INT((AG326+11)/12))</f>
        <v>Interest Earnings (361-*)</v>
      </c>
    </row>
    <row r="327" spans="32:39" x14ac:dyDescent="0.25">
      <c r="AG327" s="126">
        <v>2</v>
      </c>
      <c r="AH327" s="126" t="s">
        <v>1396</v>
      </c>
      <c r="AI327" s="128">
        <f t="shared" si="32"/>
        <v>40940</v>
      </c>
      <c r="AJ327" s="126">
        <f t="shared" si="33"/>
        <v>0</v>
      </c>
      <c r="AK327" s="126">
        <f t="array" ref="AK327">INDEX($P$42:$P$45,MATCH(AM327&amp;YEAR(AI327),$A$42:$A$45&amp;YEAR($B$42:$B$45),0))</f>
        <v>0</v>
      </c>
      <c r="AL327" s="126" t="s">
        <v>1395</v>
      </c>
      <c r="AM327" s="126" t="str">
        <f t="shared" si="34"/>
        <v>Interest Earnings (361-*)</v>
      </c>
    </row>
    <row r="328" spans="32:39" x14ac:dyDescent="0.25">
      <c r="AG328" s="126">
        <v>3</v>
      </c>
      <c r="AH328" s="126" t="s">
        <v>1396</v>
      </c>
      <c r="AI328" s="128">
        <f t="shared" si="32"/>
        <v>40969</v>
      </c>
      <c r="AJ328" s="126">
        <f t="shared" si="33"/>
        <v>0</v>
      </c>
      <c r="AK328" s="126">
        <f t="array" ref="AK328">INDEX($P$42:$P$45,MATCH(AM328&amp;YEAR(AI328),$A$42:$A$45&amp;YEAR($B$42:$B$45),0))</f>
        <v>0</v>
      </c>
      <c r="AL328" s="126" t="s">
        <v>1395</v>
      </c>
      <c r="AM328" s="126" t="str">
        <f t="shared" si="34"/>
        <v>Interest Earnings (361-*)</v>
      </c>
    </row>
    <row r="329" spans="32:39" x14ac:dyDescent="0.25">
      <c r="AG329" s="126">
        <v>4</v>
      </c>
      <c r="AH329" s="126" t="s">
        <v>1396</v>
      </c>
      <c r="AI329" s="128">
        <f t="shared" si="32"/>
        <v>41000</v>
      </c>
      <c r="AJ329" s="126">
        <f t="shared" si="33"/>
        <v>0</v>
      </c>
      <c r="AK329" s="126">
        <f t="array" ref="AK329">INDEX($P$42:$P$45,MATCH(AM329&amp;YEAR(AI329),$A$42:$A$45&amp;YEAR($B$42:$B$45),0))</f>
        <v>0</v>
      </c>
      <c r="AL329" s="126" t="s">
        <v>1395</v>
      </c>
      <c r="AM329" s="126" t="str">
        <f t="shared" si="34"/>
        <v>Interest Earnings (361-*)</v>
      </c>
    </row>
    <row r="330" spans="32:39" x14ac:dyDescent="0.25">
      <c r="AG330" s="126">
        <v>5</v>
      </c>
      <c r="AH330" s="126" t="s">
        <v>1396</v>
      </c>
      <c r="AI330" s="128">
        <f t="shared" si="32"/>
        <v>41030</v>
      </c>
      <c r="AJ330" s="126">
        <f t="shared" si="33"/>
        <v>0</v>
      </c>
      <c r="AK330" s="126">
        <f t="array" ref="AK330">INDEX($P$42:$P$45,MATCH(AM330&amp;YEAR(AI330),$A$42:$A$45&amp;YEAR($B$42:$B$45),0))</f>
        <v>0</v>
      </c>
      <c r="AL330" s="126" t="s">
        <v>1395</v>
      </c>
      <c r="AM330" s="126" t="str">
        <f t="shared" si="34"/>
        <v>Interest Earnings (361-*)</v>
      </c>
    </row>
    <row r="331" spans="32:39" x14ac:dyDescent="0.25">
      <c r="AG331" s="126">
        <v>6</v>
      </c>
      <c r="AH331" s="126" t="s">
        <v>1396</v>
      </c>
      <c r="AI331" s="128">
        <f t="shared" si="32"/>
        <v>41061</v>
      </c>
      <c r="AJ331" s="126">
        <f t="shared" si="33"/>
        <v>0</v>
      </c>
      <c r="AK331" s="126">
        <f t="array" ref="AK331">INDEX($P$42:$P$45,MATCH(AM331&amp;YEAR(AI331),$A$42:$A$45&amp;YEAR($B$42:$B$45),0))</f>
        <v>0</v>
      </c>
      <c r="AL331" s="126" t="s">
        <v>1395</v>
      </c>
      <c r="AM331" s="126" t="str">
        <f t="shared" si="34"/>
        <v>Interest Earnings (361-*)</v>
      </c>
    </row>
    <row r="332" spans="32:39" x14ac:dyDescent="0.25">
      <c r="AG332" s="126">
        <v>7</v>
      </c>
      <c r="AH332" s="126" t="s">
        <v>1396</v>
      </c>
      <c r="AI332" s="128">
        <f t="shared" si="32"/>
        <v>41091</v>
      </c>
      <c r="AJ332" s="126">
        <f t="shared" si="33"/>
        <v>0</v>
      </c>
      <c r="AK332" s="126">
        <f t="array" ref="AK332">INDEX($P$42:$P$45,MATCH(AM332&amp;YEAR(AI332),$A$42:$A$45&amp;YEAR($B$42:$B$45),0))</f>
        <v>0</v>
      </c>
      <c r="AL332" s="126" t="s">
        <v>1395</v>
      </c>
      <c r="AM332" s="126" t="str">
        <f t="shared" si="34"/>
        <v>Interest Earnings (361-*)</v>
      </c>
    </row>
    <row r="333" spans="32:39" x14ac:dyDescent="0.25">
      <c r="AG333" s="126">
        <v>8</v>
      </c>
      <c r="AH333" s="126" t="s">
        <v>1396</v>
      </c>
      <c r="AI333" s="128">
        <f t="shared" si="32"/>
        <v>41122</v>
      </c>
      <c r="AJ333" s="126">
        <f t="shared" si="33"/>
        <v>0</v>
      </c>
      <c r="AK333" s="126">
        <f t="array" ref="AK333">INDEX($P$42:$P$45,MATCH(AM333&amp;YEAR(AI333),$A$42:$A$45&amp;YEAR($B$42:$B$45),0))</f>
        <v>0</v>
      </c>
      <c r="AL333" s="126" t="s">
        <v>1395</v>
      </c>
      <c r="AM333" s="126" t="str">
        <f t="shared" si="34"/>
        <v>Interest Earnings (361-*)</v>
      </c>
    </row>
    <row r="334" spans="32:39" x14ac:dyDescent="0.25">
      <c r="AG334" s="126">
        <v>9</v>
      </c>
      <c r="AH334" s="126" t="s">
        <v>1396</v>
      </c>
      <c r="AI334" s="128">
        <f t="shared" si="32"/>
        <v>41153</v>
      </c>
      <c r="AJ334" s="126">
        <f t="shared" si="33"/>
        <v>0</v>
      </c>
      <c r="AK334" s="126">
        <f t="array" ref="AK334">INDEX($P$42:$P$45,MATCH(AM334&amp;YEAR(AI334),$A$42:$A$45&amp;YEAR($B$42:$B$45),0))</f>
        <v>0</v>
      </c>
      <c r="AL334" s="126" t="s">
        <v>1395</v>
      </c>
      <c r="AM334" s="126" t="str">
        <f t="shared" si="34"/>
        <v>Interest Earnings (361-*)</v>
      </c>
    </row>
    <row r="335" spans="32:39" x14ac:dyDescent="0.25">
      <c r="AG335" s="126">
        <v>10</v>
      </c>
      <c r="AH335" s="126" t="s">
        <v>1396</v>
      </c>
      <c r="AI335" s="128">
        <f t="shared" si="32"/>
        <v>41183</v>
      </c>
      <c r="AJ335" s="126">
        <f t="shared" si="33"/>
        <v>0</v>
      </c>
      <c r="AK335" s="126">
        <f t="array" ref="AK335">INDEX($P$42:$P$45,MATCH(AM335&amp;YEAR(AI335),$A$42:$A$45&amp;YEAR($B$42:$B$45),0))</f>
        <v>0</v>
      </c>
      <c r="AL335" s="126" t="s">
        <v>1395</v>
      </c>
      <c r="AM335" s="126" t="str">
        <f t="shared" si="34"/>
        <v>Interest Earnings (361-*)</v>
      </c>
    </row>
    <row r="336" spans="32:39" x14ac:dyDescent="0.25">
      <c r="AG336" s="126">
        <v>11</v>
      </c>
      <c r="AH336" s="126" t="s">
        <v>1396</v>
      </c>
      <c r="AI336" s="128">
        <f t="shared" si="32"/>
        <v>41214</v>
      </c>
      <c r="AJ336" s="126">
        <f t="shared" si="33"/>
        <v>5915.68</v>
      </c>
      <c r="AK336" s="126">
        <f t="array" ref="AK336">INDEX($P$42:$P$45,MATCH(AM336&amp;YEAR(AI336),$A$42:$A$45&amp;YEAR($B$42:$B$45),0))</f>
        <v>0</v>
      </c>
      <c r="AL336" s="126" t="s">
        <v>1395</v>
      </c>
      <c r="AM336" s="126" t="str">
        <f t="shared" si="34"/>
        <v>Interest Earnings (361-*)</v>
      </c>
    </row>
    <row r="337" spans="33:39" x14ac:dyDescent="0.25">
      <c r="AG337" s="126">
        <v>12</v>
      </c>
      <c r="AH337" s="126" t="s">
        <v>1396</v>
      </c>
      <c r="AI337" s="128">
        <f t="shared" si="32"/>
        <v>41244</v>
      </c>
      <c r="AJ337" s="126">
        <f t="shared" si="33"/>
        <v>6593.04</v>
      </c>
      <c r="AK337" s="126">
        <f t="array" ref="AK337">INDEX($P$42:$P$45,MATCH(AM337&amp;YEAR(AI337),$A$42:$A$45&amp;YEAR($B$42:$B$45),0))</f>
        <v>0</v>
      </c>
      <c r="AL337" s="126" t="s">
        <v>1395</v>
      </c>
      <c r="AM337" s="126" t="str">
        <f t="shared" si="34"/>
        <v>Interest Earnings (361-*)</v>
      </c>
    </row>
    <row r="338" spans="33:39" x14ac:dyDescent="0.25">
      <c r="AG338" s="126">
        <v>13</v>
      </c>
      <c r="AH338" s="126" t="s">
        <v>1396</v>
      </c>
      <c r="AI338" s="128">
        <f t="shared" si="32"/>
        <v>41275</v>
      </c>
      <c r="AJ338" s="126">
        <f t="shared" si="33"/>
        <v>1042.33</v>
      </c>
      <c r="AK338" s="126">
        <f t="array" ref="AK338">INDEX($P$42:$P$45,MATCH(AM338&amp;YEAR(AI338),$A$42:$A$45&amp;YEAR($B$42:$B$45),0))</f>
        <v>0</v>
      </c>
      <c r="AL338" s="126" t="s">
        <v>1395</v>
      </c>
      <c r="AM338" s="126" t="str">
        <f t="shared" si="34"/>
        <v>Interest Earnings (361-*)</v>
      </c>
    </row>
    <row r="339" spans="33:39" x14ac:dyDescent="0.25">
      <c r="AG339" s="126">
        <v>14</v>
      </c>
      <c r="AH339" s="126" t="s">
        <v>1396</v>
      </c>
      <c r="AI339" s="128">
        <f t="shared" si="32"/>
        <v>41306</v>
      </c>
      <c r="AJ339" s="126">
        <f t="shared" si="33"/>
        <v>874.1</v>
      </c>
      <c r="AK339" s="126">
        <f t="array" ref="AK339">INDEX($P$42:$P$45,MATCH(AM339&amp;YEAR(AI339),$A$42:$A$45&amp;YEAR($B$42:$B$45),0))</f>
        <v>0</v>
      </c>
      <c r="AL339" s="126" t="s">
        <v>1395</v>
      </c>
      <c r="AM339" s="126" t="str">
        <f t="shared" si="34"/>
        <v>Interest Earnings (361-*)</v>
      </c>
    </row>
    <row r="340" spans="33:39" x14ac:dyDescent="0.25">
      <c r="AG340" s="126">
        <v>15</v>
      </c>
      <c r="AH340" s="126" t="s">
        <v>1396</v>
      </c>
      <c r="AI340" s="128">
        <f t="shared" si="32"/>
        <v>41334</v>
      </c>
      <c r="AJ340" s="126">
        <f t="shared" si="33"/>
        <v>871.01</v>
      </c>
      <c r="AK340" s="126">
        <f t="array" ref="AK340">INDEX($P$42:$P$45,MATCH(AM340&amp;YEAR(AI340),$A$42:$A$45&amp;YEAR($B$42:$B$45),0))</f>
        <v>0</v>
      </c>
      <c r="AL340" s="126" t="s">
        <v>1395</v>
      </c>
      <c r="AM340" s="126" t="str">
        <f t="shared" si="34"/>
        <v>Interest Earnings (361-*)</v>
      </c>
    </row>
    <row r="341" spans="33:39" x14ac:dyDescent="0.25">
      <c r="AG341" s="126">
        <v>16</v>
      </c>
      <c r="AH341" s="126" t="s">
        <v>1396</v>
      </c>
      <c r="AI341" s="128">
        <f t="shared" si="32"/>
        <v>41365</v>
      </c>
      <c r="AJ341" s="126">
        <f t="shared" si="33"/>
        <v>788.14</v>
      </c>
      <c r="AK341" s="126">
        <f t="array" ref="AK341">INDEX($P$42:$P$45,MATCH(AM341&amp;YEAR(AI341),$A$42:$A$45&amp;YEAR($B$42:$B$45),0))</f>
        <v>0</v>
      </c>
      <c r="AL341" s="126" t="s">
        <v>1395</v>
      </c>
      <c r="AM341" s="126" t="str">
        <f t="shared" si="34"/>
        <v>Interest Earnings (361-*)</v>
      </c>
    </row>
    <row r="342" spans="33:39" x14ac:dyDescent="0.25">
      <c r="AG342" s="126">
        <v>17</v>
      </c>
      <c r="AH342" s="126" t="s">
        <v>1396</v>
      </c>
      <c r="AI342" s="128">
        <f t="shared" si="32"/>
        <v>41395</v>
      </c>
      <c r="AJ342" s="126">
        <f t="shared" si="33"/>
        <v>754.98</v>
      </c>
      <c r="AK342" s="126">
        <f t="array" ref="AK342">INDEX($P$42:$P$45,MATCH(AM342&amp;YEAR(AI342),$A$42:$A$45&amp;YEAR($B$42:$B$45),0))</f>
        <v>0</v>
      </c>
      <c r="AL342" s="126" t="s">
        <v>1395</v>
      </c>
      <c r="AM342" s="126" t="str">
        <f t="shared" si="34"/>
        <v>Interest Earnings (361-*)</v>
      </c>
    </row>
    <row r="343" spans="33:39" x14ac:dyDescent="0.25">
      <c r="AG343" s="126">
        <v>18</v>
      </c>
      <c r="AH343" s="126" t="s">
        <v>1396</v>
      </c>
      <c r="AI343" s="128">
        <f t="shared" si="32"/>
        <v>41426</v>
      </c>
      <c r="AJ343" s="126">
        <f t="shared" si="33"/>
        <v>0</v>
      </c>
      <c r="AK343" s="126">
        <f t="array" ref="AK343">INDEX($P$42:$P$45,MATCH(AM343&amp;YEAR(AI343),$A$42:$A$45&amp;YEAR($B$42:$B$45),0))</f>
        <v>0</v>
      </c>
      <c r="AL343" s="126" t="s">
        <v>1395</v>
      </c>
      <c r="AM343" s="126" t="str">
        <f t="shared" si="34"/>
        <v>Interest Earnings (361-*)</v>
      </c>
    </row>
    <row r="344" spans="33:39" x14ac:dyDescent="0.25">
      <c r="AG344" s="126">
        <v>19</v>
      </c>
      <c r="AH344" s="126" t="s">
        <v>1396</v>
      </c>
      <c r="AI344" s="128">
        <f t="shared" si="32"/>
        <v>41456</v>
      </c>
      <c r="AJ344" s="126">
        <f t="shared" si="33"/>
        <v>0</v>
      </c>
      <c r="AK344" s="126">
        <f t="array" ref="AK344">INDEX($P$42:$P$45,MATCH(AM344&amp;YEAR(AI344),$A$42:$A$45&amp;YEAR($B$42:$B$45),0))</f>
        <v>0</v>
      </c>
      <c r="AL344" s="126" t="s">
        <v>1395</v>
      </c>
      <c r="AM344" s="126" t="str">
        <f t="shared" si="34"/>
        <v>Interest Earnings (361-*)</v>
      </c>
    </row>
    <row r="345" spans="33:39" x14ac:dyDescent="0.25">
      <c r="AG345" s="126">
        <v>20</v>
      </c>
      <c r="AH345" s="126" t="s">
        <v>1396</v>
      </c>
      <c r="AI345" s="128">
        <f t="shared" si="32"/>
        <v>41487</v>
      </c>
      <c r="AJ345" s="126">
        <f t="shared" si="33"/>
        <v>0</v>
      </c>
      <c r="AK345" s="126">
        <f t="array" ref="AK345">INDEX($P$42:$P$45,MATCH(AM345&amp;YEAR(AI345),$A$42:$A$45&amp;YEAR($B$42:$B$45),0))</f>
        <v>0</v>
      </c>
      <c r="AL345" s="126" t="s">
        <v>1395</v>
      </c>
      <c r="AM345" s="126" t="str">
        <f t="shared" si="34"/>
        <v>Interest Earnings (361-*)</v>
      </c>
    </row>
    <row r="346" spans="33:39" x14ac:dyDescent="0.25">
      <c r="AG346" s="126">
        <v>21</v>
      </c>
      <c r="AH346" s="126" t="s">
        <v>1396</v>
      </c>
      <c r="AI346" s="128">
        <f t="shared" si="32"/>
        <v>41518</v>
      </c>
      <c r="AJ346" s="126">
        <f t="shared" si="33"/>
        <v>0</v>
      </c>
      <c r="AK346" s="126">
        <f t="array" ref="AK346">INDEX($P$42:$P$45,MATCH(AM346&amp;YEAR(AI346),$A$42:$A$45&amp;YEAR($B$42:$B$45),0))</f>
        <v>0</v>
      </c>
      <c r="AL346" s="126" t="s">
        <v>1395</v>
      </c>
      <c r="AM346" s="126" t="str">
        <f t="shared" si="34"/>
        <v>Interest Earnings (361-*)</v>
      </c>
    </row>
    <row r="347" spans="33:39" x14ac:dyDescent="0.25">
      <c r="AG347" s="126">
        <v>22</v>
      </c>
      <c r="AH347" s="126" t="s">
        <v>1396</v>
      </c>
      <c r="AI347" s="128">
        <f t="shared" si="32"/>
        <v>41548</v>
      </c>
      <c r="AJ347" s="126">
        <f t="shared" si="33"/>
        <v>0</v>
      </c>
      <c r="AK347" s="126">
        <f t="array" ref="AK347">INDEX($P$42:$P$45,MATCH(AM347&amp;YEAR(AI347),$A$42:$A$45&amp;YEAR($B$42:$B$45),0))</f>
        <v>0</v>
      </c>
      <c r="AL347" s="126" t="s">
        <v>1395</v>
      </c>
      <c r="AM347" s="126" t="str">
        <f t="shared" si="34"/>
        <v>Interest Earnings (361-*)</v>
      </c>
    </row>
    <row r="348" spans="33:39" x14ac:dyDescent="0.25">
      <c r="AG348" s="126">
        <v>23</v>
      </c>
      <c r="AH348" s="126" t="s">
        <v>1396</v>
      </c>
      <c r="AI348" s="128">
        <f t="shared" si="32"/>
        <v>41579</v>
      </c>
      <c r="AJ348" s="126">
        <f t="shared" si="33"/>
        <v>0</v>
      </c>
      <c r="AK348" s="126">
        <f t="array" ref="AK348">INDEX($P$42:$P$45,MATCH(AM348&amp;YEAR(AI348),$A$42:$A$45&amp;YEAR($B$42:$B$45),0))</f>
        <v>0</v>
      </c>
      <c r="AL348" s="126" t="s">
        <v>1395</v>
      </c>
      <c r="AM348" s="126" t="str">
        <f t="shared" si="34"/>
        <v>Interest Earnings (361-*)</v>
      </c>
    </row>
    <row r="349" spans="33:39" x14ac:dyDescent="0.25">
      <c r="AG349" s="126">
        <v>24</v>
      </c>
      <c r="AH349" s="126" t="s">
        <v>1396</v>
      </c>
      <c r="AI349" s="128">
        <f t="shared" si="32"/>
        <v>41609</v>
      </c>
      <c r="AJ349" s="126">
        <f t="shared" si="33"/>
        <v>0</v>
      </c>
      <c r="AK349" s="126">
        <f t="array" ref="AK349">INDEX($P$42:$P$45,MATCH(AM349&amp;YEAR(AI349),$A$42:$A$45&amp;YEAR($B$42:$B$45),0))</f>
        <v>0</v>
      </c>
      <c r="AL349" s="126" t="s">
        <v>1395</v>
      </c>
      <c r="AM349" s="126" t="str">
        <f t="shared" si="34"/>
        <v>Interest Earnings (361-*)</v>
      </c>
    </row>
    <row r="350" spans="33:39" x14ac:dyDescent="0.25">
      <c r="AG350" s="126">
        <v>25</v>
      </c>
      <c r="AH350" s="126" t="s">
        <v>1396</v>
      </c>
      <c r="AI350" s="128">
        <f t="shared" si="32"/>
        <v>40909</v>
      </c>
      <c r="AJ350" s="126">
        <f t="shared" si="33"/>
        <v>0</v>
      </c>
      <c r="AK350" s="126">
        <f t="array" ref="AK350">INDEX($P$42:$P$45,MATCH(AM350&amp;YEAR(AI350),$A$42:$A$45&amp;YEAR($B$42:$B$45),0))</f>
        <v>0</v>
      </c>
      <c r="AL350" s="126" t="s">
        <v>1395</v>
      </c>
      <c r="AM350" s="126" t="str">
        <f t="shared" si="34"/>
        <v>Transfer from Other Funds (370-**)</v>
      </c>
    </row>
    <row r="351" spans="33:39" x14ac:dyDescent="0.25">
      <c r="AG351" s="126">
        <v>26</v>
      </c>
      <c r="AH351" s="126" t="s">
        <v>1396</v>
      </c>
      <c r="AI351" s="128">
        <f t="shared" si="32"/>
        <v>40940</v>
      </c>
      <c r="AJ351" s="126">
        <f t="shared" si="33"/>
        <v>0</v>
      </c>
      <c r="AK351" s="126">
        <f t="array" ref="AK351">INDEX($P$42:$P$45,MATCH(AM351&amp;YEAR(AI351),$A$42:$A$45&amp;YEAR($B$42:$B$45),0))</f>
        <v>0</v>
      </c>
      <c r="AL351" s="126" t="s">
        <v>1395</v>
      </c>
      <c r="AM351" s="126" t="str">
        <f t="shared" si="34"/>
        <v>Transfer from Other Funds (370-**)</v>
      </c>
    </row>
    <row r="352" spans="33:39" x14ac:dyDescent="0.25">
      <c r="AG352" s="126">
        <v>27</v>
      </c>
      <c r="AH352" s="126" t="s">
        <v>1396</v>
      </c>
      <c r="AI352" s="128">
        <f t="shared" si="32"/>
        <v>40969</v>
      </c>
      <c r="AJ352" s="126">
        <f t="shared" si="33"/>
        <v>0</v>
      </c>
      <c r="AK352" s="126">
        <f t="array" ref="AK352">INDEX($P$42:$P$45,MATCH(AM352&amp;YEAR(AI352),$A$42:$A$45&amp;YEAR($B$42:$B$45),0))</f>
        <v>0</v>
      </c>
      <c r="AL352" s="126" t="s">
        <v>1395</v>
      </c>
      <c r="AM352" s="126" t="str">
        <f t="shared" si="34"/>
        <v>Transfer from Other Funds (370-**)</v>
      </c>
    </row>
    <row r="353" spans="33:39" x14ac:dyDescent="0.25">
      <c r="AG353" s="126">
        <v>28</v>
      </c>
      <c r="AH353" s="126" t="s">
        <v>1396</v>
      </c>
      <c r="AI353" s="128">
        <f t="shared" si="32"/>
        <v>41000</v>
      </c>
      <c r="AJ353" s="126">
        <f t="shared" si="33"/>
        <v>0</v>
      </c>
      <c r="AK353" s="126">
        <f t="array" ref="AK353">INDEX($P$42:$P$45,MATCH(AM353&amp;YEAR(AI353),$A$42:$A$45&amp;YEAR($B$42:$B$45),0))</f>
        <v>0</v>
      </c>
      <c r="AL353" s="126" t="s">
        <v>1395</v>
      </c>
      <c r="AM353" s="126" t="str">
        <f t="shared" si="34"/>
        <v>Transfer from Other Funds (370-**)</v>
      </c>
    </row>
    <row r="354" spans="33:39" x14ac:dyDescent="0.25">
      <c r="AG354" s="126">
        <v>29</v>
      </c>
      <c r="AH354" s="126" t="s">
        <v>1396</v>
      </c>
      <c r="AI354" s="128">
        <f t="shared" si="32"/>
        <v>41030</v>
      </c>
      <c r="AJ354" s="126">
        <f t="shared" si="33"/>
        <v>0</v>
      </c>
      <c r="AK354" s="126">
        <f t="array" ref="AK354">INDEX($P$42:$P$45,MATCH(AM354&amp;YEAR(AI354),$A$42:$A$45&amp;YEAR($B$42:$B$45),0))</f>
        <v>0</v>
      </c>
      <c r="AL354" s="126" t="s">
        <v>1395</v>
      </c>
      <c r="AM354" s="126" t="str">
        <f t="shared" si="34"/>
        <v>Transfer from Other Funds (370-**)</v>
      </c>
    </row>
    <row r="355" spans="33:39" x14ac:dyDescent="0.25">
      <c r="AG355" s="126">
        <v>30</v>
      </c>
      <c r="AH355" s="126" t="s">
        <v>1396</v>
      </c>
      <c r="AI355" s="128">
        <f t="shared" si="32"/>
        <v>41061</v>
      </c>
      <c r="AJ355" s="126">
        <f t="shared" si="33"/>
        <v>0</v>
      </c>
      <c r="AK355" s="126">
        <f t="array" ref="AK355">INDEX($P$42:$P$45,MATCH(AM355&amp;YEAR(AI355),$A$42:$A$45&amp;YEAR($B$42:$B$45),0))</f>
        <v>0</v>
      </c>
      <c r="AL355" s="126" t="s">
        <v>1395</v>
      </c>
      <c r="AM355" s="126" t="str">
        <f t="shared" si="34"/>
        <v>Transfer from Other Funds (370-**)</v>
      </c>
    </row>
    <row r="356" spans="33:39" x14ac:dyDescent="0.25">
      <c r="AG356" s="126">
        <v>31</v>
      </c>
      <c r="AH356" s="126" t="s">
        <v>1396</v>
      </c>
      <c r="AI356" s="128">
        <f t="shared" si="32"/>
        <v>41091</v>
      </c>
      <c r="AJ356" s="126">
        <f t="shared" si="33"/>
        <v>0</v>
      </c>
      <c r="AK356" s="126">
        <f t="array" ref="AK356">INDEX($P$42:$P$45,MATCH(AM356&amp;YEAR(AI356),$A$42:$A$45&amp;YEAR($B$42:$B$45),0))</f>
        <v>0</v>
      </c>
      <c r="AL356" s="126" t="s">
        <v>1395</v>
      </c>
      <c r="AM356" s="126" t="str">
        <f t="shared" si="34"/>
        <v>Transfer from Other Funds (370-**)</v>
      </c>
    </row>
    <row r="357" spans="33:39" x14ac:dyDescent="0.25">
      <c r="AG357" s="126">
        <v>32</v>
      </c>
      <c r="AH357" s="126" t="s">
        <v>1396</v>
      </c>
      <c r="AI357" s="128">
        <f t="shared" si="32"/>
        <v>41122</v>
      </c>
      <c r="AJ357" s="126">
        <f t="shared" si="33"/>
        <v>0</v>
      </c>
      <c r="AK357" s="126">
        <f t="array" ref="AK357">INDEX($P$42:$P$45,MATCH(AM357&amp;YEAR(AI357),$A$42:$A$45&amp;YEAR($B$42:$B$45),0))</f>
        <v>0</v>
      </c>
      <c r="AL357" s="126" t="s">
        <v>1395</v>
      </c>
      <c r="AM357" s="126" t="str">
        <f t="shared" si="34"/>
        <v>Transfer from Other Funds (370-**)</v>
      </c>
    </row>
    <row r="358" spans="33:39" x14ac:dyDescent="0.25">
      <c r="AG358" s="126">
        <v>33</v>
      </c>
      <c r="AH358" s="126" t="s">
        <v>1396</v>
      </c>
      <c r="AI358" s="128">
        <f t="shared" si="32"/>
        <v>41153</v>
      </c>
      <c r="AJ358" s="126">
        <f t="shared" si="33"/>
        <v>0</v>
      </c>
      <c r="AK358" s="126">
        <f t="array" ref="AK358">INDEX($P$42:$P$45,MATCH(AM358&amp;YEAR(AI358),$A$42:$A$45&amp;YEAR($B$42:$B$45),0))</f>
        <v>0</v>
      </c>
      <c r="AL358" s="126" t="s">
        <v>1395</v>
      </c>
      <c r="AM358" s="126" t="str">
        <f t="shared" si="34"/>
        <v>Transfer from Other Funds (370-**)</v>
      </c>
    </row>
    <row r="359" spans="33:39" x14ac:dyDescent="0.25">
      <c r="AG359" s="126">
        <v>34</v>
      </c>
      <c r="AH359" s="126" t="s">
        <v>1396</v>
      </c>
      <c r="AI359" s="128">
        <f t="shared" si="32"/>
        <v>41183</v>
      </c>
      <c r="AJ359" s="126">
        <f t="shared" si="33"/>
        <v>7206733.8399999999</v>
      </c>
      <c r="AK359" s="126">
        <f t="array" ref="AK359">INDEX($P$42:$P$45,MATCH(AM359&amp;YEAR(AI359),$A$42:$A$45&amp;YEAR($B$42:$B$45),0))</f>
        <v>0</v>
      </c>
      <c r="AL359" s="126" t="s">
        <v>1395</v>
      </c>
      <c r="AM359" s="126" t="str">
        <f t="shared" si="34"/>
        <v>Transfer from Other Funds (370-**)</v>
      </c>
    </row>
    <row r="360" spans="33:39" x14ac:dyDescent="0.25">
      <c r="AG360" s="126">
        <v>35</v>
      </c>
      <c r="AH360" s="126" t="s">
        <v>1396</v>
      </c>
      <c r="AI360" s="128">
        <f t="shared" si="32"/>
        <v>41214</v>
      </c>
      <c r="AJ360" s="126">
        <f t="shared" si="33"/>
        <v>0</v>
      </c>
      <c r="AK360" s="126">
        <f t="array" ref="AK360">INDEX($P$42:$P$45,MATCH(AM360&amp;YEAR(AI360),$A$42:$A$45&amp;YEAR($B$42:$B$45),0))</f>
        <v>0</v>
      </c>
      <c r="AL360" s="126" t="s">
        <v>1395</v>
      </c>
      <c r="AM360" s="126" t="str">
        <f t="shared" si="34"/>
        <v>Transfer from Other Funds (370-**)</v>
      </c>
    </row>
    <row r="361" spans="33:39" x14ac:dyDescent="0.25">
      <c r="AG361" s="126">
        <v>36</v>
      </c>
      <c r="AH361" s="126" t="s">
        <v>1396</v>
      </c>
      <c r="AI361" s="128">
        <f t="shared" si="32"/>
        <v>41244</v>
      </c>
      <c r="AJ361" s="126">
        <f t="shared" si="33"/>
        <v>0</v>
      </c>
      <c r="AK361" s="126">
        <f t="array" ref="AK361">INDEX($P$42:$P$45,MATCH(AM361&amp;YEAR(AI361),$A$42:$A$45&amp;YEAR($B$42:$B$45),0))</f>
        <v>0</v>
      </c>
      <c r="AL361" s="126" t="s">
        <v>1395</v>
      </c>
      <c r="AM361" s="126" t="str">
        <f t="shared" si="34"/>
        <v>Transfer from Other Funds (370-**)</v>
      </c>
    </row>
    <row r="362" spans="33:39" x14ac:dyDescent="0.25">
      <c r="AG362" s="126">
        <v>37</v>
      </c>
      <c r="AH362" s="126" t="s">
        <v>1396</v>
      </c>
      <c r="AI362" s="128">
        <f t="shared" si="32"/>
        <v>41275</v>
      </c>
      <c r="AJ362" s="126">
        <f t="shared" si="33"/>
        <v>0</v>
      </c>
      <c r="AK362" s="126">
        <f t="array" ref="AK362">INDEX($P$42:$P$45,MATCH(AM362&amp;YEAR(AI362),$A$42:$A$45&amp;YEAR($B$42:$B$45),0))</f>
        <v>0</v>
      </c>
      <c r="AL362" s="126" t="s">
        <v>1395</v>
      </c>
      <c r="AM362" s="126" t="str">
        <f t="shared" si="34"/>
        <v>Transfer from Other Funds (370-**)</v>
      </c>
    </row>
    <row r="363" spans="33:39" x14ac:dyDescent="0.25">
      <c r="AG363" s="126">
        <v>38</v>
      </c>
      <c r="AH363" s="126" t="s">
        <v>1396</v>
      </c>
      <c r="AI363" s="128">
        <f t="shared" si="32"/>
        <v>41306</v>
      </c>
      <c r="AJ363" s="126">
        <f t="shared" si="33"/>
        <v>0</v>
      </c>
      <c r="AK363" s="126">
        <f t="array" ref="AK363">INDEX($P$42:$P$45,MATCH(AM363&amp;YEAR(AI363),$A$42:$A$45&amp;YEAR($B$42:$B$45),0))</f>
        <v>0</v>
      </c>
      <c r="AL363" s="126" t="s">
        <v>1395</v>
      </c>
      <c r="AM363" s="126" t="str">
        <f t="shared" si="34"/>
        <v>Transfer from Other Funds (370-**)</v>
      </c>
    </row>
    <row r="364" spans="33:39" x14ac:dyDescent="0.25">
      <c r="AG364" s="126">
        <v>39</v>
      </c>
      <c r="AH364" s="126" t="s">
        <v>1396</v>
      </c>
      <c r="AI364" s="128">
        <f t="shared" si="32"/>
        <v>41334</v>
      </c>
      <c r="AJ364" s="126">
        <f t="shared" si="33"/>
        <v>0</v>
      </c>
      <c r="AK364" s="126">
        <f t="array" ref="AK364">INDEX($P$42:$P$45,MATCH(AM364&amp;YEAR(AI364),$A$42:$A$45&amp;YEAR($B$42:$B$45),0))</f>
        <v>0</v>
      </c>
      <c r="AL364" s="126" t="s">
        <v>1395</v>
      </c>
      <c r="AM364" s="126" t="str">
        <f t="shared" si="34"/>
        <v>Transfer from Other Funds (370-**)</v>
      </c>
    </row>
    <row r="365" spans="33:39" x14ac:dyDescent="0.25">
      <c r="AG365" s="126">
        <v>40</v>
      </c>
      <c r="AH365" s="126" t="s">
        <v>1396</v>
      </c>
      <c r="AI365" s="128">
        <f t="shared" si="32"/>
        <v>41365</v>
      </c>
      <c r="AJ365" s="126">
        <f t="shared" si="33"/>
        <v>0</v>
      </c>
      <c r="AK365" s="126">
        <f t="array" ref="AK365">INDEX($P$42:$P$45,MATCH(AM365&amp;YEAR(AI365),$A$42:$A$45&amp;YEAR($B$42:$B$45),0))</f>
        <v>0</v>
      </c>
      <c r="AL365" s="126" t="s">
        <v>1395</v>
      </c>
      <c r="AM365" s="126" t="str">
        <f t="shared" si="34"/>
        <v>Transfer from Other Funds (370-**)</v>
      </c>
    </row>
    <row r="366" spans="33:39" x14ac:dyDescent="0.25">
      <c r="AG366" s="126">
        <v>41</v>
      </c>
      <c r="AH366" s="126" t="s">
        <v>1396</v>
      </c>
      <c r="AI366" s="128">
        <f t="shared" si="32"/>
        <v>41395</v>
      </c>
      <c r="AJ366" s="126">
        <f t="shared" si="33"/>
        <v>0</v>
      </c>
      <c r="AK366" s="126">
        <f t="array" ref="AK366">INDEX($P$42:$P$45,MATCH(AM366&amp;YEAR(AI366),$A$42:$A$45&amp;YEAR($B$42:$B$45),0))</f>
        <v>0</v>
      </c>
      <c r="AL366" s="126" t="s">
        <v>1395</v>
      </c>
      <c r="AM366" s="126" t="str">
        <f t="shared" si="34"/>
        <v>Transfer from Other Funds (370-**)</v>
      </c>
    </row>
    <row r="367" spans="33:39" x14ac:dyDescent="0.25">
      <c r="AG367" s="126">
        <v>42</v>
      </c>
      <c r="AH367" s="126" t="s">
        <v>1396</v>
      </c>
      <c r="AI367" s="128">
        <f t="shared" si="32"/>
        <v>41426</v>
      </c>
      <c r="AJ367" s="126">
        <f t="shared" si="33"/>
        <v>0</v>
      </c>
      <c r="AK367" s="126">
        <f t="array" ref="AK367">INDEX($P$42:$P$45,MATCH(AM367&amp;YEAR(AI367),$A$42:$A$45&amp;YEAR($B$42:$B$45),0))</f>
        <v>0</v>
      </c>
      <c r="AL367" s="126" t="s">
        <v>1395</v>
      </c>
      <c r="AM367" s="126" t="str">
        <f t="shared" si="34"/>
        <v>Transfer from Other Funds (370-**)</v>
      </c>
    </row>
    <row r="368" spans="33:39" x14ac:dyDescent="0.25">
      <c r="AG368" s="126">
        <v>43</v>
      </c>
      <c r="AH368" s="126" t="s">
        <v>1396</v>
      </c>
      <c r="AI368" s="128">
        <f t="shared" si="32"/>
        <v>41456</v>
      </c>
      <c r="AJ368" s="126">
        <f t="shared" si="33"/>
        <v>0</v>
      </c>
      <c r="AK368" s="126">
        <f t="array" ref="AK368">INDEX($P$42:$P$45,MATCH(AM368&amp;YEAR(AI368),$A$42:$A$45&amp;YEAR($B$42:$B$45),0))</f>
        <v>0</v>
      </c>
      <c r="AL368" s="126" t="s">
        <v>1395</v>
      </c>
      <c r="AM368" s="126" t="str">
        <f t="shared" si="34"/>
        <v>Transfer from Other Funds (370-**)</v>
      </c>
    </row>
    <row r="369" spans="33:39" x14ac:dyDescent="0.25">
      <c r="AG369" s="126">
        <v>44</v>
      </c>
      <c r="AH369" s="126" t="s">
        <v>1396</v>
      </c>
      <c r="AI369" s="128">
        <f t="shared" si="32"/>
        <v>41487</v>
      </c>
      <c r="AJ369" s="126">
        <f t="shared" si="33"/>
        <v>0</v>
      </c>
      <c r="AK369" s="126">
        <f t="array" ref="AK369">INDEX($P$42:$P$45,MATCH(AM369&amp;YEAR(AI369),$A$42:$A$45&amp;YEAR($B$42:$B$45),0))</f>
        <v>0</v>
      </c>
      <c r="AL369" s="126" t="s">
        <v>1395</v>
      </c>
      <c r="AM369" s="126" t="str">
        <f t="shared" si="34"/>
        <v>Transfer from Other Funds (370-**)</v>
      </c>
    </row>
    <row r="370" spans="33:39" x14ac:dyDescent="0.25">
      <c r="AG370" s="126">
        <v>45</v>
      </c>
      <c r="AH370" s="126" t="s">
        <v>1396</v>
      </c>
      <c r="AI370" s="128">
        <f t="shared" si="32"/>
        <v>41518</v>
      </c>
      <c r="AJ370" s="126">
        <f t="shared" si="33"/>
        <v>0</v>
      </c>
      <c r="AK370" s="126">
        <f t="array" ref="AK370">INDEX($P$42:$P$45,MATCH(AM370&amp;YEAR(AI370),$A$42:$A$45&amp;YEAR($B$42:$B$45),0))</f>
        <v>0</v>
      </c>
      <c r="AL370" s="126" t="s">
        <v>1395</v>
      </c>
      <c r="AM370" s="126" t="str">
        <f t="shared" si="34"/>
        <v>Transfer from Other Funds (370-**)</v>
      </c>
    </row>
    <row r="371" spans="33:39" x14ac:dyDescent="0.25">
      <c r="AG371" s="126">
        <v>46</v>
      </c>
      <c r="AH371" s="126" t="s">
        <v>1396</v>
      </c>
      <c r="AI371" s="128">
        <f t="shared" si="32"/>
        <v>41548</v>
      </c>
      <c r="AJ371" s="126">
        <f t="shared" si="33"/>
        <v>0</v>
      </c>
      <c r="AK371" s="126">
        <f t="array" ref="AK371">INDEX($P$42:$P$45,MATCH(AM371&amp;YEAR(AI371),$A$42:$A$45&amp;YEAR($B$42:$B$45),0))</f>
        <v>0</v>
      </c>
      <c r="AL371" s="126" t="s">
        <v>1395</v>
      </c>
      <c r="AM371" s="126" t="str">
        <f t="shared" si="34"/>
        <v>Transfer from Other Funds (370-**)</v>
      </c>
    </row>
    <row r="372" spans="33:39" x14ac:dyDescent="0.25">
      <c r="AG372" s="126">
        <v>47</v>
      </c>
      <c r="AH372" s="126" t="s">
        <v>1396</v>
      </c>
      <c r="AI372" s="128">
        <f t="shared" si="32"/>
        <v>41579</v>
      </c>
      <c r="AJ372" s="126">
        <f t="shared" si="33"/>
        <v>0</v>
      </c>
      <c r="AK372" s="126">
        <f t="array" ref="AK372">INDEX($P$42:$P$45,MATCH(AM372&amp;YEAR(AI372),$A$42:$A$45&amp;YEAR($B$42:$B$45),0))</f>
        <v>0</v>
      </c>
      <c r="AL372" s="126" t="s">
        <v>1395</v>
      </c>
      <c r="AM372" s="126" t="str">
        <f t="shared" si="34"/>
        <v>Transfer from Other Funds (370-**)</v>
      </c>
    </row>
    <row r="373" spans="33:39" x14ac:dyDescent="0.25">
      <c r="AG373" s="126">
        <v>48</v>
      </c>
      <c r="AH373" s="126" t="s">
        <v>1396</v>
      </c>
      <c r="AI373" s="128">
        <f t="shared" si="32"/>
        <v>41609</v>
      </c>
      <c r="AJ373" s="126">
        <f t="shared" si="33"/>
        <v>0</v>
      </c>
      <c r="AK373" s="126">
        <f t="array" ref="AK373">INDEX($P$42:$P$45,MATCH(AM373&amp;YEAR(AI373),$A$42:$A$45&amp;YEAR($B$42:$B$45),0))</f>
        <v>0</v>
      </c>
      <c r="AL373" s="126" t="s">
        <v>1395</v>
      </c>
      <c r="AM373" s="126" t="str">
        <f t="shared" si="34"/>
        <v>Transfer from Other Funds (370-**)</v>
      </c>
    </row>
  </sheetData>
  <printOptions gridLines="1"/>
  <pageMargins left="0.75" right="0.75" top="1" bottom="1" header="0.5" footer="0.5"/>
  <pageSetup scale="54" orientation="landscape"/>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71"/>
  <sheetViews>
    <sheetView topLeftCell="C1" zoomScale="130" zoomScaleNormal="130" workbookViewId="0">
      <selection activeCell="D1" sqref="D1:D1048576"/>
    </sheetView>
  </sheetViews>
  <sheetFormatPr defaultRowHeight="15" x14ac:dyDescent="0.25"/>
  <cols>
    <col min="1" max="1" width="17.5703125" style="122" customWidth="1"/>
    <col min="2" max="2" width="21.85546875" style="122" bestFit="1" customWidth="1"/>
    <col min="3" max="3" width="30.28515625" style="122" bestFit="1" customWidth="1"/>
    <col min="4" max="4" width="18" style="122" customWidth="1"/>
    <col min="5" max="5" width="22.28515625" style="122" bestFit="1" customWidth="1"/>
    <col min="6" max="16384" width="9.140625" style="122"/>
  </cols>
  <sheetData>
    <row r="1" spans="1:5" s="124" customFormat="1" x14ac:dyDescent="0.25">
      <c r="A1" s="124" t="s">
        <v>1394</v>
      </c>
      <c r="B1" s="124" t="s">
        <v>1393</v>
      </c>
      <c r="C1" s="124" t="s">
        <v>1392</v>
      </c>
      <c r="D1" s="124" t="s">
        <v>1391</v>
      </c>
      <c r="E1" s="125" t="s">
        <v>1390</v>
      </c>
    </row>
    <row r="2" spans="1:5" x14ac:dyDescent="0.25">
      <c r="A2" s="122" t="s">
        <v>1389</v>
      </c>
      <c r="B2" s="122" t="s">
        <v>1388</v>
      </c>
      <c r="C2" s="122" t="s">
        <v>1387</v>
      </c>
      <c r="D2" s="123">
        <v>37705</v>
      </c>
      <c r="E2" s="122" t="s">
        <v>1386</v>
      </c>
    </row>
    <row r="3" spans="1:5" x14ac:dyDescent="0.25">
      <c r="A3" s="122" t="s">
        <v>1385</v>
      </c>
      <c r="B3" s="122" t="s">
        <v>1384</v>
      </c>
      <c r="C3" s="122" t="s">
        <v>1383</v>
      </c>
      <c r="D3" s="123">
        <v>40840</v>
      </c>
      <c r="E3" s="122" t="s">
        <v>1382</v>
      </c>
    </row>
    <row r="4" spans="1:5" x14ac:dyDescent="0.25">
      <c r="A4" s="122" t="s">
        <v>1381</v>
      </c>
      <c r="B4" s="122" t="s">
        <v>1380</v>
      </c>
      <c r="C4" s="122" t="s">
        <v>1379</v>
      </c>
      <c r="D4" s="123">
        <v>34041</v>
      </c>
      <c r="E4" s="122" t="s">
        <v>1378</v>
      </c>
    </row>
    <row r="5" spans="1:5" x14ac:dyDescent="0.25">
      <c r="A5" s="122" t="s">
        <v>1377</v>
      </c>
      <c r="B5" s="122" t="s">
        <v>1376</v>
      </c>
      <c r="C5" s="122" t="s">
        <v>1375</v>
      </c>
      <c r="D5" s="123">
        <v>35457</v>
      </c>
      <c r="E5" s="122" t="s">
        <v>1374</v>
      </c>
    </row>
    <row r="6" spans="1:5" x14ac:dyDescent="0.25">
      <c r="A6" s="122" t="s">
        <v>1373</v>
      </c>
      <c r="B6" s="122" t="s">
        <v>1372</v>
      </c>
      <c r="C6" s="122" t="s">
        <v>1371</v>
      </c>
      <c r="D6" s="123">
        <v>32462</v>
      </c>
      <c r="E6" s="122" t="s">
        <v>1370</v>
      </c>
    </row>
    <row r="7" spans="1:5" x14ac:dyDescent="0.25">
      <c r="A7" s="122" t="s">
        <v>1369</v>
      </c>
      <c r="B7" s="122" t="s">
        <v>1368</v>
      </c>
      <c r="C7" s="122" t="s">
        <v>1367</v>
      </c>
      <c r="D7" s="123">
        <v>35650</v>
      </c>
      <c r="E7" s="122" t="s">
        <v>1366</v>
      </c>
    </row>
    <row r="8" spans="1:5" x14ac:dyDescent="0.25">
      <c r="A8" s="122" t="s">
        <v>1365</v>
      </c>
      <c r="B8" s="122" t="s">
        <v>1364</v>
      </c>
      <c r="C8" s="122" t="s">
        <v>1363</v>
      </c>
      <c r="D8" s="123">
        <v>33065</v>
      </c>
      <c r="E8" s="122" t="s">
        <v>1362</v>
      </c>
    </row>
    <row r="9" spans="1:5" x14ac:dyDescent="0.25">
      <c r="A9" s="122" t="s">
        <v>1361</v>
      </c>
      <c r="B9" s="122" t="s">
        <v>1360</v>
      </c>
      <c r="C9" s="122" t="s">
        <v>1359</v>
      </c>
      <c r="D9" s="123">
        <v>40217</v>
      </c>
      <c r="E9" s="122" t="s">
        <v>1358</v>
      </c>
    </row>
    <row r="10" spans="1:5" x14ac:dyDescent="0.25">
      <c r="A10" s="122" t="s">
        <v>1357</v>
      </c>
      <c r="B10" s="122" t="s">
        <v>1356</v>
      </c>
      <c r="C10" s="122" t="s">
        <v>1355</v>
      </c>
      <c r="D10" s="123">
        <v>37649</v>
      </c>
      <c r="E10" s="122" t="s">
        <v>1354</v>
      </c>
    </row>
    <row r="11" spans="1:5" x14ac:dyDescent="0.25">
      <c r="A11" s="122" t="s">
        <v>1353</v>
      </c>
      <c r="B11" s="122" t="s">
        <v>1352</v>
      </c>
      <c r="C11" s="122" t="s">
        <v>1351</v>
      </c>
      <c r="D11" s="123">
        <v>38925</v>
      </c>
      <c r="E11" s="122" t="s">
        <v>1350</v>
      </c>
    </row>
    <row r="12" spans="1:5" x14ac:dyDescent="0.25">
      <c r="A12" s="122" t="s">
        <v>1349</v>
      </c>
      <c r="B12" s="122" t="s">
        <v>1348</v>
      </c>
      <c r="C12" s="122" t="s">
        <v>1347</v>
      </c>
      <c r="D12" s="123">
        <v>34618</v>
      </c>
      <c r="E12" s="122" t="s">
        <v>1346</v>
      </c>
    </row>
    <row r="13" spans="1:5" x14ac:dyDescent="0.25">
      <c r="A13" s="122" t="s">
        <v>1345</v>
      </c>
      <c r="B13" s="122" t="s">
        <v>1344</v>
      </c>
      <c r="C13" s="122" t="s">
        <v>1343</v>
      </c>
      <c r="D13" s="123">
        <v>32479</v>
      </c>
      <c r="E13" s="122" t="s">
        <v>1342</v>
      </c>
    </row>
    <row r="14" spans="1:5" x14ac:dyDescent="0.25">
      <c r="A14" s="122" t="s">
        <v>1341</v>
      </c>
      <c r="B14" s="122" t="s">
        <v>1340</v>
      </c>
      <c r="C14" s="122" t="s">
        <v>1339</v>
      </c>
      <c r="D14" s="123">
        <v>36953</v>
      </c>
      <c r="E14" s="122" t="s">
        <v>1338</v>
      </c>
    </row>
    <row r="15" spans="1:5" x14ac:dyDescent="0.25">
      <c r="A15" s="122" t="s">
        <v>1337</v>
      </c>
      <c r="B15" s="122" t="s">
        <v>1336</v>
      </c>
      <c r="C15" s="122" t="s">
        <v>1335</v>
      </c>
      <c r="D15" s="123">
        <v>39557</v>
      </c>
      <c r="E15" s="122" t="s">
        <v>1334</v>
      </c>
    </row>
    <row r="16" spans="1:5" x14ac:dyDescent="0.25">
      <c r="A16" s="122" t="s">
        <v>1333</v>
      </c>
      <c r="B16" s="122" t="s">
        <v>1332</v>
      </c>
      <c r="C16" s="122" t="s">
        <v>1331</v>
      </c>
      <c r="D16" s="123">
        <v>39452</v>
      </c>
      <c r="E16" s="122" t="s">
        <v>1330</v>
      </c>
    </row>
    <row r="17" spans="1:5" x14ac:dyDescent="0.25">
      <c r="A17" s="122" t="s">
        <v>1329</v>
      </c>
      <c r="B17" s="122" t="s">
        <v>1328</v>
      </c>
      <c r="C17" s="122" t="s">
        <v>1327</v>
      </c>
      <c r="D17" s="123">
        <v>31059</v>
      </c>
      <c r="E17" s="122" t="s">
        <v>1326</v>
      </c>
    </row>
    <row r="18" spans="1:5" x14ac:dyDescent="0.25">
      <c r="A18" s="122" t="s">
        <v>1325</v>
      </c>
      <c r="B18" s="122" t="s">
        <v>1324</v>
      </c>
      <c r="C18" s="122" t="s">
        <v>1323</v>
      </c>
      <c r="D18" s="123">
        <v>36533</v>
      </c>
      <c r="E18" s="122" t="s">
        <v>1322</v>
      </c>
    </row>
    <row r="19" spans="1:5" x14ac:dyDescent="0.25">
      <c r="A19" s="122" t="s">
        <v>1321</v>
      </c>
      <c r="B19" s="122" t="s">
        <v>1320</v>
      </c>
      <c r="C19" s="122" t="s">
        <v>1319</v>
      </c>
      <c r="D19" s="123">
        <v>34262</v>
      </c>
      <c r="E19" s="122" t="s">
        <v>1318</v>
      </c>
    </row>
    <row r="20" spans="1:5" x14ac:dyDescent="0.25">
      <c r="A20" s="122" t="s">
        <v>1317</v>
      </c>
      <c r="B20" s="122" t="s">
        <v>1316</v>
      </c>
      <c r="C20" s="122" t="s">
        <v>1315</v>
      </c>
      <c r="D20" s="123">
        <v>35017</v>
      </c>
      <c r="E20" s="122" t="s">
        <v>1314</v>
      </c>
    </row>
    <row r="21" spans="1:5" x14ac:dyDescent="0.25">
      <c r="A21" s="122" t="s">
        <v>1313</v>
      </c>
      <c r="B21" s="122" t="s">
        <v>1312</v>
      </c>
      <c r="C21" s="122" t="s">
        <v>1311</v>
      </c>
      <c r="D21" s="123">
        <v>38365</v>
      </c>
      <c r="E21" s="122" t="s">
        <v>1310</v>
      </c>
    </row>
    <row r="22" spans="1:5" x14ac:dyDescent="0.25">
      <c r="A22" s="122" t="s">
        <v>1309</v>
      </c>
      <c r="B22" s="122" t="s">
        <v>1308</v>
      </c>
      <c r="C22" s="122" t="s">
        <v>1307</v>
      </c>
      <c r="D22" s="123">
        <v>35670</v>
      </c>
      <c r="E22" s="122" t="s">
        <v>1306</v>
      </c>
    </row>
    <row r="23" spans="1:5" x14ac:dyDescent="0.25">
      <c r="A23" s="122" t="s">
        <v>1305</v>
      </c>
      <c r="B23" s="122" t="s">
        <v>1304</v>
      </c>
      <c r="C23" s="122" t="s">
        <v>1303</v>
      </c>
      <c r="D23" s="123">
        <v>33820</v>
      </c>
      <c r="E23" s="122" t="s">
        <v>1302</v>
      </c>
    </row>
    <row r="24" spans="1:5" x14ac:dyDescent="0.25">
      <c r="A24" s="122" t="s">
        <v>1301</v>
      </c>
      <c r="B24" s="122" t="s">
        <v>1300</v>
      </c>
      <c r="C24" s="122" t="s">
        <v>1299</v>
      </c>
      <c r="D24" s="123">
        <v>36152</v>
      </c>
      <c r="E24" s="122" t="s">
        <v>1298</v>
      </c>
    </row>
    <row r="25" spans="1:5" x14ac:dyDescent="0.25">
      <c r="A25" s="122" t="s">
        <v>1297</v>
      </c>
      <c r="B25" s="122" t="s">
        <v>1296</v>
      </c>
      <c r="C25" s="122" t="s">
        <v>1295</v>
      </c>
      <c r="D25" s="123">
        <v>33211</v>
      </c>
      <c r="E25" s="122" t="s">
        <v>1294</v>
      </c>
    </row>
    <row r="26" spans="1:5" x14ac:dyDescent="0.25">
      <c r="A26" s="122" t="s">
        <v>1293</v>
      </c>
      <c r="B26" s="122" t="s">
        <v>1292</v>
      </c>
      <c r="C26" s="122" t="s">
        <v>1291</v>
      </c>
      <c r="D26" s="123">
        <v>38027</v>
      </c>
      <c r="E26" s="122" t="s">
        <v>1290</v>
      </c>
    </row>
    <row r="27" spans="1:5" x14ac:dyDescent="0.25">
      <c r="A27" s="122" t="s">
        <v>1289</v>
      </c>
      <c r="B27" s="122" t="s">
        <v>1288</v>
      </c>
      <c r="C27" s="122" t="s">
        <v>1287</v>
      </c>
      <c r="D27" s="123">
        <v>33977</v>
      </c>
      <c r="E27" s="122" t="s">
        <v>1286</v>
      </c>
    </row>
    <row r="28" spans="1:5" x14ac:dyDescent="0.25">
      <c r="A28" s="122" t="s">
        <v>1285</v>
      </c>
      <c r="B28" s="122" t="s">
        <v>1284</v>
      </c>
      <c r="C28" s="122" t="s">
        <v>1122</v>
      </c>
      <c r="D28" s="123">
        <v>31465</v>
      </c>
      <c r="E28" s="122" t="s">
        <v>1283</v>
      </c>
    </row>
    <row r="29" spans="1:5" x14ac:dyDescent="0.25">
      <c r="A29" s="122" t="s">
        <v>1282</v>
      </c>
      <c r="B29" s="122" t="s">
        <v>1281</v>
      </c>
      <c r="C29" s="122" t="s">
        <v>1280</v>
      </c>
      <c r="D29" s="123">
        <v>34540</v>
      </c>
      <c r="E29" s="122" t="s">
        <v>1279</v>
      </c>
    </row>
    <row r="30" spans="1:5" x14ac:dyDescent="0.25">
      <c r="A30" s="122" t="s">
        <v>1278</v>
      </c>
      <c r="B30" s="122" t="s">
        <v>1277</v>
      </c>
      <c r="C30" s="122" t="s">
        <v>1276</v>
      </c>
      <c r="D30" s="123">
        <v>34987</v>
      </c>
      <c r="E30" s="122" t="s">
        <v>1275</v>
      </c>
    </row>
    <row r="31" spans="1:5" x14ac:dyDescent="0.25">
      <c r="A31" s="122" t="s">
        <v>1274</v>
      </c>
      <c r="B31" s="122" t="s">
        <v>1273</v>
      </c>
      <c r="C31" s="122" t="s">
        <v>1245</v>
      </c>
      <c r="D31" s="123">
        <v>31133</v>
      </c>
      <c r="E31" s="122" t="s">
        <v>1272</v>
      </c>
    </row>
    <row r="32" spans="1:5" x14ac:dyDescent="0.25">
      <c r="A32" s="122" t="s">
        <v>1271</v>
      </c>
      <c r="B32" s="122" t="s">
        <v>1270</v>
      </c>
      <c r="C32" s="122" t="s">
        <v>1269</v>
      </c>
      <c r="D32" s="123">
        <v>34894</v>
      </c>
      <c r="E32" s="122" t="s">
        <v>1268</v>
      </c>
    </row>
    <row r="33" spans="1:5" x14ac:dyDescent="0.25">
      <c r="A33" s="122" t="s">
        <v>1267</v>
      </c>
      <c r="B33" s="122" t="s">
        <v>1266</v>
      </c>
      <c r="C33" s="122" t="s">
        <v>1265</v>
      </c>
      <c r="D33" s="123">
        <v>37811</v>
      </c>
      <c r="E33" s="122" t="s">
        <v>1264</v>
      </c>
    </row>
    <row r="34" spans="1:5" x14ac:dyDescent="0.25">
      <c r="A34" s="122" t="s">
        <v>1263</v>
      </c>
      <c r="B34" s="122" t="s">
        <v>1262</v>
      </c>
      <c r="C34" s="122" t="s">
        <v>1261</v>
      </c>
      <c r="D34" s="123">
        <v>40782</v>
      </c>
      <c r="E34" s="122" t="s">
        <v>1260</v>
      </c>
    </row>
    <row r="35" spans="1:5" x14ac:dyDescent="0.25">
      <c r="A35" s="122" t="s">
        <v>1259</v>
      </c>
      <c r="B35" s="122" t="s">
        <v>1258</v>
      </c>
      <c r="C35" s="122" t="s">
        <v>1257</v>
      </c>
      <c r="D35" s="123">
        <v>40508</v>
      </c>
      <c r="E35" s="122" t="s">
        <v>1256</v>
      </c>
    </row>
    <row r="36" spans="1:5" x14ac:dyDescent="0.25">
      <c r="A36" s="122" t="s">
        <v>1255</v>
      </c>
      <c r="B36" s="122" t="s">
        <v>1254</v>
      </c>
      <c r="C36" s="122" t="s">
        <v>1253</v>
      </c>
      <c r="D36" s="123">
        <v>31861</v>
      </c>
      <c r="E36" s="122" t="s">
        <v>1252</v>
      </c>
    </row>
    <row r="37" spans="1:5" x14ac:dyDescent="0.25">
      <c r="A37" s="122" t="s">
        <v>1251</v>
      </c>
      <c r="B37" s="122" t="s">
        <v>1250</v>
      </c>
      <c r="C37" s="122" t="s">
        <v>1249</v>
      </c>
      <c r="D37" s="123">
        <v>35294</v>
      </c>
      <c r="E37" s="122" t="s">
        <v>1248</v>
      </c>
    </row>
    <row r="38" spans="1:5" x14ac:dyDescent="0.25">
      <c r="A38" s="122" t="s">
        <v>1247</v>
      </c>
      <c r="B38" s="122" t="s">
        <v>1246</v>
      </c>
      <c r="C38" s="122" t="s">
        <v>1245</v>
      </c>
      <c r="D38" s="123">
        <v>33664</v>
      </c>
      <c r="E38" s="122" t="s">
        <v>1244</v>
      </c>
    </row>
    <row r="39" spans="1:5" x14ac:dyDescent="0.25">
      <c r="A39" s="122" t="s">
        <v>1243</v>
      </c>
      <c r="B39" s="122" t="s">
        <v>1242</v>
      </c>
      <c r="C39" s="122" t="s">
        <v>1241</v>
      </c>
      <c r="D39" s="123">
        <v>31727</v>
      </c>
      <c r="E39" s="122" t="s">
        <v>1240</v>
      </c>
    </row>
    <row r="40" spans="1:5" x14ac:dyDescent="0.25">
      <c r="A40" s="122" t="s">
        <v>1239</v>
      </c>
      <c r="B40" s="122" t="s">
        <v>1238</v>
      </c>
      <c r="C40" s="122" t="s">
        <v>1237</v>
      </c>
      <c r="D40" s="123">
        <v>35327</v>
      </c>
      <c r="E40" s="122" t="s">
        <v>1236</v>
      </c>
    </row>
    <row r="41" spans="1:5" x14ac:dyDescent="0.25">
      <c r="A41" s="122" t="s">
        <v>1235</v>
      </c>
      <c r="B41" s="122" t="s">
        <v>1234</v>
      </c>
      <c r="C41" s="122" t="s">
        <v>1233</v>
      </c>
      <c r="D41" s="123">
        <v>36257</v>
      </c>
      <c r="E41" s="122" t="s">
        <v>1232</v>
      </c>
    </row>
    <row r="42" spans="1:5" x14ac:dyDescent="0.25">
      <c r="A42" s="122" t="s">
        <v>1231</v>
      </c>
      <c r="B42" s="122" t="s">
        <v>1230</v>
      </c>
      <c r="C42" s="122" t="s">
        <v>1229</v>
      </c>
      <c r="D42" s="123">
        <v>38055</v>
      </c>
      <c r="E42" s="122" t="s">
        <v>1228</v>
      </c>
    </row>
    <row r="43" spans="1:5" x14ac:dyDescent="0.25">
      <c r="A43" s="122" t="s">
        <v>1227</v>
      </c>
      <c r="B43" s="122" t="s">
        <v>1226</v>
      </c>
      <c r="C43" s="122" t="s">
        <v>1225</v>
      </c>
      <c r="D43" s="123">
        <v>37658</v>
      </c>
      <c r="E43" s="122" t="s">
        <v>1224</v>
      </c>
    </row>
    <row r="44" spans="1:5" x14ac:dyDescent="0.25">
      <c r="A44" s="122" t="s">
        <v>1223</v>
      </c>
      <c r="B44" s="122" t="s">
        <v>1222</v>
      </c>
      <c r="C44" s="122" t="s">
        <v>1221</v>
      </c>
      <c r="D44" s="123">
        <v>40101</v>
      </c>
      <c r="E44" s="122" t="s">
        <v>1220</v>
      </c>
    </row>
    <row r="45" spans="1:5" x14ac:dyDescent="0.25">
      <c r="A45" s="122" t="s">
        <v>1219</v>
      </c>
      <c r="B45" s="122" t="s">
        <v>1218</v>
      </c>
      <c r="C45" s="122" t="s">
        <v>1217</v>
      </c>
      <c r="D45" s="123">
        <v>39845</v>
      </c>
      <c r="E45" s="122" t="s">
        <v>1216</v>
      </c>
    </row>
    <row r="46" spans="1:5" x14ac:dyDescent="0.25">
      <c r="A46" s="122" t="s">
        <v>1215</v>
      </c>
      <c r="B46" s="122" t="s">
        <v>1214</v>
      </c>
      <c r="C46" s="122" t="s">
        <v>1186</v>
      </c>
      <c r="D46" s="123">
        <v>40704</v>
      </c>
      <c r="E46" s="122" t="s">
        <v>1213</v>
      </c>
    </row>
    <row r="47" spans="1:5" x14ac:dyDescent="0.25">
      <c r="A47" s="122" t="s">
        <v>1212</v>
      </c>
      <c r="B47" s="122" t="s">
        <v>1211</v>
      </c>
      <c r="C47" s="122" t="s">
        <v>1210</v>
      </c>
      <c r="D47" s="123">
        <v>33426</v>
      </c>
      <c r="E47" s="122" t="s">
        <v>1209</v>
      </c>
    </row>
    <row r="48" spans="1:5" x14ac:dyDescent="0.25">
      <c r="A48" s="122" t="s">
        <v>1208</v>
      </c>
      <c r="B48" s="122" t="s">
        <v>1207</v>
      </c>
      <c r="C48" s="122" t="s">
        <v>1206</v>
      </c>
      <c r="D48" s="123">
        <v>34305</v>
      </c>
      <c r="E48" s="122" t="s">
        <v>1205</v>
      </c>
    </row>
    <row r="49" spans="1:5" x14ac:dyDescent="0.25">
      <c r="A49" s="122" t="s">
        <v>1204</v>
      </c>
      <c r="B49" s="122" t="s">
        <v>1203</v>
      </c>
      <c r="C49" s="122" t="s">
        <v>1202</v>
      </c>
      <c r="D49" s="123">
        <v>38041</v>
      </c>
      <c r="E49" s="122" t="s">
        <v>1201</v>
      </c>
    </row>
    <row r="50" spans="1:5" x14ac:dyDescent="0.25">
      <c r="A50" s="122" t="s">
        <v>1200</v>
      </c>
      <c r="B50" s="122" t="s">
        <v>1199</v>
      </c>
      <c r="C50" s="122" t="s">
        <v>1198</v>
      </c>
      <c r="D50" s="123">
        <v>32568</v>
      </c>
      <c r="E50" s="122" t="s">
        <v>1197</v>
      </c>
    </row>
    <row r="51" spans="1:5" x14ac:dyDescent="0.25">
      <c r="A51" s="122" t="s">
        <v>1196</v>
      </c>
      <c r="B51" s="122" t="s">
        <v>1195</v>
      </c>
      <c r="C51" s="122" t="s">
        <v>1194</v>
      </c>
      <c r="D51" s="123">
        <v>34205</v>
      </c>
      <c r="E51" s="122" t="s">
        <v>1193</v>
      </c>
    </row>
    <row r="52" spans="1:5" x14ac:dyDescent="0.25">
      <c r="A52" s="122" t="s">
        <v>1192</v>
      </c>
      <c r="B52" s="122" t="s">
        <v>1191</v>
      </c>
      <c r="C52" s="122" t="s">
        <v>1190</v>
      </c>
      <c r="D52" s="123">
        <v>37238</v>
      </c>
      <c r="E52" s="122" t="s">
        <v>1189</v>
      </c>
    </row>
    <row r="53" spans="1:5" x14ac:dyDescent="0.25">
      <c r="A53" s="122" t="s">
        <v>1188</v>
      </c>
      <c r="B53" s="122" t="s">
        <v>1187</v>
      </c>
      <c r="C53" s="122" t="s">
        <v>1186</v>
      </c>
      <c r="D53" s="123">
        <v>31753</v>
      </c>
      <c r="E53" s="122" t="s">
        <v>1185</v>
      </c>
    </row>
    <row r="54" spans="1:5" x14ac:dyDescent="0.25">
      <c r="A54" s="122" t="s">
        <v>1184</v>
      </c>
      <c r="B54" s="122" t="s">
        <v>1183</v>
      </c>
      <c r="C54" s="122" t="s">
        <v>1182</v>
      </c>
      <c r="D54" s="123">
        <v>35543</v>
      </c>
      <c r="E54" s="122" t="s">
        <v>1181</v>
      </c>
    </row>
    <row r="55" spans="1:5" x14ac:dyDescent="0.25">
      <c r="A55" s="122" t="s">
        <v>1180</v>
      </c>
      <c r="B55" s="122" t="s">
        <v>1179</v>
      </c>
      <c r="C55" s="122" t="s">
        <v>1178</v>
      </c>
      <c r="D55" s="123">
        <v>35268</v>
      </c>
      <c r="E55" s="122" t="s">
        <v>1177</v>
      </c>
    </row>
    <row r="56" spans="1:5" x14ac:dyDescent="0.25">
      <c r="A56" s="122" t="s">
        <v>1176</v>
      </c>
      <c r="B56" s="122" t="s">
        <v>1175</v>
      </c>
      <c r="C56" s="122" t="s">
        <v>1174</v>
      </c>
      <c r="D56" s="123">
        <v>32032</v>
      </c>
      <c r="E56" s="122" t="s">
        <v>1173</v>
      </c>
    </row>
    <row r="57" spans="1:5" x14ac:dyDescent="0.25">
      <c r="A57" s="122" t="s">
        <v>1172</v>
      </c>
      <c r="B57" s="122" t="s">
        <v>1171</v>
      </c>
      <c r="C57" s="122" t="s">
        <v>1170</v>
      </c>
      <c r="D57" s="123">
        <v>31477</v>
      </c>
      <c r="E57" s="122" t="s">
        <v>1169</v>
      </c>
    </row>
    <row r="58" spans="1:5" x14ac:dyDescent="0.25">
      <c r="A58" s="122" t="s">
        <v>1168</v>
      </c>
      <c r="B58" s="122" t="s">
        <v>1167</v>
      </c>
      <c r="C58" s="122" t="s">
        <v>1166</v>
      </c>
      <c r="D58" s="123">
        <v>35294</v>
      </c>
      <c r="E58" s="122" t="s">
        <v>1165</v>
      </c>
    </row>
    <row r="59" spans="1:5" x14ac:dyDescent="0.25">
      <c r="A59" s="122" t="s">
        <v>1164</v>
      </c>
      <c r="B59" s="122" t="s">
        <v>1163</v>
      </c>
      <c r="C59" s="122" t="s">
        <v>1162</v>
      </c>
      <c r="D59" s="123">
        <v>38446</v>
      </c>
      <c r="E59" s="122" t="s">
        <v>1161</v>
      </c>
    </row>
    <row r="60" spans="1:5" x14ac:dyDescent="0.25">
      <c r="A60" s="122" t="s">
        <v>1160</v>
      </c>
      <c r="B60" s="122" t="s">
        <v>1159</v>
      </c>
      <c r="C60" s="122" t="s">
        <v>1158</v>
      </c>
      <c r="D60" s="123">
        <v>32389</v>
      </c>
      <c r="E60" s="122" t="s">
        <v>1157</v>
      </c>
    </row>
    <row r="61" spans="1:5" x14ac:dyDescent="0.25">
      <c r="A61" s="122" t="s">
        <v>1156</v>
      </c>
      <c r="B61" s="122" t="s">
        <v>1155</v>
      </c>
      <c r="C61" s="122" t="s">
        <v>1154</v>
      </c>
      <c r="D61" s="123">
        <v>32096</v>
      </c>
      <c r="E61" s="122" t="s">
        <v>1153</v>
      </c>
    </row>
    <row r="62" spans="1:5" x14ac:dyDescent="0.25">
      <c r="A62" s="122" t="s">
        <v>1152</v>
      </c>
      <c r="B62" s="122" t="s">
        <v>1151</v>
      </c>
      <c r="C62" s="122" t="s">
        <v>1150</v>
      </c>
      <c r="D62" s="123">
        <v>34924</v>
      </c>
      <c r="E62" s="122" t="s">
        <v>1149</v>
      </c>
    </row>
    <row r="63" spans="1:5" x14ac:dyDescent="0.25">
      <c r="A63" s="122" t="s">
        <v>1148</v>
      </c>
      <c r="B63" s="122" t="s">
        <v>1147</v>
      </c>
      <c r="C63" s="122" t="s">
        <v>1146</v>
      </c>
      <c r="D63" s="123">
        <v>39676</v>
      </c>
      <c r="E63" s="122" t="s">
        <v>1145</v>
      </c>
    </row>
    <row r="64" spans="1:5" x14ac:dyDescent="0.25">
      <c r="A64" s="122" t="s">
        <v>1144</v>
      </c>
      <c r="B64" s="122" t="s">
        <v>1143</v>
      </c>
      <c r="C64" s="122" t="s">
        <v>1142</v>
      </c>
      <c r="D64" s="123">
        <v>40185</v>
      </c>
      <c r="E64" s="122" t="s">
        <v>1141</v>
      </c>
    </row>
    <row r="65" spans="1:5" x14ac:dyDescent="0.25">
      <c r="A65" s="122" t="s">
        <v>1140</v>
      </c>
      <c r="B65" s="122" t="s">
        <v>1139</v>
      </c>
      <c r="C65" s="122" t="s">
        <v>1138</v>
      </c>
      <c r="D65" s="123">
        <v>40535</v>
      </c>
      <c r="E65" s="122" t="s">
        <v>1137</v>
      </c>
    </row>
    <row r="66" spans="1:5" x14ac:dyDescent="0.25">
      <c r="A66" s="122" t="s">
        <v>1136</v>
      </c>
      <c r="B66" s="122" t="s">
        <v>1135</v>
      </c>
      <c r="C66" s="122" t="s">
        <v>1134</v>
      </c>
      <c r="D66" s="123">
        <v>36638</v>
      </c>
      <c r="E66" s="122" t="s">
        <v>1133</v>
      </c>
    </row>
    <row r="67" spans="1:5" x14ac:dyDescent="0.25">
      <c r="A67" s="122" t="s">
        <v>1132</v>
      </c>
      <c r="B67" s="122" t="s">
        <v>1131</v>
      </c>
      <c r="C67" s="122" t="s">
        <v>1130</v>
      </c>
      <c r="D67" s="123">
        <v>36747</v>
      </c>
      <c r="E67" s="122" t="s">
        <v>1129</v>
      </c>
    </row>
    <row r="68" spans="1:5" x14ac:dyDescent="0.25">
      <c r="A68" s="122" t="s">
        <v>1128</v>
      </c>
      <c r="B68" s="122" t="s">
        <v>1127</v>
      </c>
      <c r="C68" s="122" t="s">
        <v>1126</v>
      </c>
      <c r="D68" s="123">
        <v>40381</v>
      </c>
      <c r="E68" s="122" t="s">
        <v>1125</v>
      </c>
    </row>
    <row r="69" spans="1:5" x14ac:dyDescent="0.25">
      <c r="A69" s="122" t="s">
        <v>1124</v>
      </c>
      <c r="B69" s="122" t="s">
        <v>1123</v>
      </c>
      <c r="C69" s="122" t="s">
        <v>1122</v>
      </c>
      <c r="D69" s="123">
        <v>35054</v>
      </c>
      <c r="E69" s="122" t="s">
        <v>1121</v>
      </c>
    </row>
    <row r="70" spans="1:5" x14ac:dyDescent="0.25">
      <c r="A70" s="122" t="s">
        <v>1120</v>
      </c>
      <c r="B70" s="122" t="s">
        <v>1119</v>
      </c>
      <c r="C70" s="122" t="s">
        <v>1118</v>
      </c>
      <c r="D70" s="123">
        <v>31361</v>
      </c>
      <c r="E70" s="122" t="s">
        <v>1117</v>
      </c>
    </row>
    <row r="71" spans="1:5" x14ac:dyDescent="0.25">
      <c r="A71" s="122" t="s">
        <v>1116</v>
      </c>
      <c r="B71" s="122" t="s">
        <v>1115</v>
      </c>
      <c r="C71" s="122" t="s">
        <v>1114</v>
      </c>
      <c r="D71" s="123">
        <v>34301</v>
      </c>
      <c r="E71" s="122" t="s">
        <v>1113</v>
      </c>
    </row>
    <row r="72" spans="1:5" x14ac:dyDescent="0.25">
      <c r="A72" s="122" t="s">
        <v>1112</v>
      </c>
      <c r="B72" s="122" t="s">
        <v>1111</v>
      </c>
      <c r="C72" s="122" t="s">
        <v>1110</v>
      </c>
      <c r="D72" s="123">
        <v>40854</v>
      </c>
      <c r="E72" s="122" t="s">
        <v>1109</v>
      </c>
    </row>
    <row r="73" spans="1:5" x14ac:dyDescent="0.25">
      <c r="A73" s="122" t="s">
        <v>1108</v>
      </c>
      <c r="B73" s="122" t="s">
        <v>1107</v>
      </c>
      <c r="C73" s="122" t="s">
        <v>1106</v>
      </c>
      <c r="D73" s="123">
        <v>34592</v>
      </c>
      <c r="E73" s="122" t="s">
        <v>1105</v>
      </c>
    </row>
    <row r="74" spans="1:5" x14ac:dyDescent="0.25">
      <c r="A74" s="122" t="s">
        <v>1104</v>
      </c>
      <c r="B74" s="122" t="s">
        <v>1103</v>
      </c>
      <c r="C74" s="122" t="s">
        <v>1102</v>
      </c>
      <c r="D74" s="123">
        <v>39784</v>
      </c>
      <c r="E74" s="122" t="s">
        <v>1101</v>
      </c>
    </row>
    <row r="75" spans="1:5" x14ac:dyDescent="0.25">
      <c r="A75" s="122" t="s">
        <v>1100</v>
      </c>
      <c r="B75" s="122" t="s">
        <v>1099</v>
      </c>
      <c r="C75" s="122" t="s">
        <v>1098</v>
      </c>
      <c r="D75" s="123">
        <v>40812</v>
      </c>
      <c r="E75" s="122" t="s">
        <v>1097</v>
      </c>
    </row>
    <row r="76" spans="1:5" x14ac:dyDescent="0.25">
      <c r="A76" s="122" t="s">
        <v>1096</v>
      </c>
      <c r="B76" s="122" t="s">
        <v>1095</v>
      </c>
      <c r="C76" s="122" t="s">
        <v>1094</v>
      </c>
      <c r="D76" s="123">
        <v>37504</v>
      </c>
      <c r="E76" s="122" t="s">
        <v>1093</v>
      </c>
    </row>
    <row r="77" spans="1:5" x14ac:dyDescent="0.25">
      <c r="A77" s="122" t="s">
        <v>1092</v>
      </c>
      <c r="B77" s="122" t="s">
        <v>1091</v>
      </c>
      <c r="C77" s="122" t="s">
        <v>1090</v>
      </c>
      <c r="D77" s="123">
        <v>39585</v>
      </c>
      <c r="E77" s="122" t="s">
        <v>1089</v>
      </c>
    </row>
    <row r="78" spans="1:5" x14ac:dyDescent="0.25">
      <c r="A78" s="122" t="s">
        <v>1088</v>
      </c>
      <c r="B78" s="122" t="s">
        <v>1087</v>
      </c>
      <c r="C78" s="122" t="s">
        <v>1086</v>
      </c>
      <c r="D78" s="123">
        <v>40474</v>
      </c>
      <c r="E78" s="122" t="s">
        <v>1085</v>
      </c>
    </row>
    <row r="79" spans="1:5" x14ac:dyDescent="0.25">
      <c r="A79" s="122" t="s">
        <v>1084</v>
      </c>
      <c r="B79" s="122" t="s">
        <v>1083</v>
      </c>
      <c r="C79" s="122" t="s">
        <v>1082</v>
      </c>
      <c r="D79" s="123">
        <v>39193</v>
      </c>
      <c r="E79" s="122" t="s">
        <v>1081</v>
      </c>
    </row>
    <row r="80" spans="1:5" x14ac:dyDescent="0.25">
      <c r="A80" s="122" t="s">
        <v>1080</v>
      </c>
      <c r="B80" s="122" t="s">
        <v>1079</v>
      </c>
      <c r="C80" s="122" t="s">
        <v>1078</v>
      </c>
      <c r="D80" s="123">
        <v>37158</v>
      </c>
      <c r="E80" s="122" t="s">
        <v>1077</v>
      </c>
    </row>
    <row r="83" spans="1:1" x14ac:dyDescent="0.25">
      <c r="A83" s="39"/>
    </row>
    <row r="84" spans="1:1" x14ac:dyDescent="0.25">
      <c r="A84" s="39"/>
    </row>
    <row r="85" spans="1:1" x14ac:dyDescent="0.25">
      <c r="A85" s="39"/>
    </row>
    <row r="86" spans="1:1" x14ac:dyDescent="0.25">
      <c r="A86" s="39"/>
    </row>
    <row r="87" spans="1:1" x14ac:dyDescent="0.25">
      <c r="A87" s="39"/>
    </row>
    <row r="88" spans="1:1" x14ac:dyDescent="0.25">
      <c r="A88" s="39"/>
    </row>
    <row r="89" spans="1:1" x14ac:dyDescent="0.25">
      <c r="A89" s="39"/>
    </row>
    <row r="90" spans="1:1" x14ac:dyDescent="0.25">
      <c r="A90" s="39"/>
    </row>
    <row r="91" spans="1:1" x14ac:dyDescent="0.25">
      <c r="A91" s="39"/>
    </row>
    <row r="92" spans="1:1" x14ac:dyDescent="0.25">
      <c r="A92" s="39"/>
    </row>
    <row r="93" spans="1:1" x14ac:dyDescent="0.25">
      <c r="A93" s="39"/>
    </row>
    <row r="94" spans="1:1" x14ac:dyDescent="0.25">
      <c r="A94" s="39"/>
    </row>
    <row r="95" spans="1:1" x14ac:dyDescent="0.25">
      <c r="A95" s="39"/>
    </row>
    <row r="96" spans="1:1" x14ac:dyDescent="0.25">
      <c r="A96" s="39"/>
    </row>
    <row r="97" spans="1:1" x14ac:dyDescent="0.25">
      <c r="A97" s="39"/>
    </row>
    <row r="98" spans="1:1" x14ac:dyDescent="0.25">
      <c r="A98" s="39"/>
    </row>
    <row r="99" spans="1:1" x14ac:dyDescent="0.25">
      <c r="A99" s="39"/>
    </row>
    <row r="100" spans="1:1" x14ac:dyDescent="0.25">
      <c r="A100" s="39"/>
    </row>
    <row r="101" spans="1:1" x14ac:dyDescent="0.25">
      <c r="A101" s="39"/>
    </row>
    <row r="102" spans="1:1" x14ac:dyDescent="0.25">
      <c r="A102" s="39"/>
    </row>
    <row r="103" spans="1:1" x14ac:dyDescent="0.25">
      <c r="A103" s="39"/>
    </row>
    <row r="104" spans="1:1" x14ac:dyDescent="0.25">
      <c r="A104" s="45"/>
    </row>
    <row r="105" spans="1:1" x14ac:dyDescent="0.25">
      <c r="A105" s="39"/>
    </row>
    <row r="106" spans="1:1" x14ac:dyDescent="0.25">
      <c r="A106" s="39"/>
    </row>
    <row r="107" spans="1:1" x14ac:dyDescent="0.25">
      <c r="A107" s="39"/>
    </row>
    <row r="108" spans="1:1" x14ac:dyDescent="0.25">
      <c r="A108" s="39"/>
    </row>
    <row r="109" spans="1:1" x14ac:dyDescent="0.25">
      <c r="A109" s="39"/>
    </row>
    <row r="110" spans="1:1" x14ac:dyDescent="0.25">
      <c r="A110" s="39"/>
    </row>
    <row r="111" spans="1:1" x14ac:dyDescent="0.25">
      <c r="A111" s="39"/>
    </row>
    <row r="112" spans="1:1" x14ac:dyDescent="0.25">
      <c r="A112" s="39"/>
    </row>
    <row r="113" spans="1:1" x14ac:dyDescent="0.25">
      <c r="A113" s="39"/>
    </row>
    <row r="114" spans="1:1" x14ac:dyDescent="0.25">
      <c r="A114" s="39"/>
    </row>
    <row r="115" spans="1:1" x14ac:dyDescent="0.25">
      <c r="A115" s="39"/>
    </row>
    <row r="116" spans="1:1" x14ac:dyDescent="0.25">
      <c r="A116" s="39"/>
    </row>
    <row r="117" spans="1:1" x14ac:dyDescent="0.25">
      <c r="A117" s="39"/>
    </row>
    <row r="118" spans="1:1" x14ac:dyDescent="0.25">
      <c r="A118" s="39"/>
    </row>
    <row r="119" spans="1:1" x14ac:dyDescent="0.25">
      <c r="A119" s="39"/>
    </row>
    <row r="120" spans="1:1" x14ac:dyDescent="0.25">
      <c r="A120" s="39"/>
    </row>
    <row r="121" spans="1:1" x14ac:dyDescent="0.25">
      <c r="A121" s="39"/>
    </row>
    <row r="122" spans="1:1" x14ac:dyDescent="0.25">
      <c r="A122" s="39"/>
    </row>
    <row r="123" spans="1:1" x14ac:dyDescent="0.25">
      <c r="A123" s="39"/>
    </row>
    <row r="124" spans="1:1" x14ac:dyDescent="0.25">
      <c r="A124" s="39"/>
    </row>
    <row r="125" spans="1:1" x14ac:dyDescent="0.25">
      <c r="A125" s="39"/>
    </row>
    <row r="126" spans="1:1" x14ac:dyDescent="0.25">
      <c r="A126" s="39"/>
    </row>
    <row r="127" spans="1:1" x14ac:dyDescent="0.25">
      <c r="A127" s="39"/>
    </row>
    <row r="128" spans="1:1" x14ac:dyDescent="0.25">
      <c r="A128" s="39"/>
    </row>
    <row r="129" spans="1:1" x14ac:dyDescent="0.25">
      <c r="A129" s="39"/>
    </row>
    <row r="130" spans="1:1" x14ac:dyDescent="0.25">
      <c r="A130" s="39"/>
    </row>
    <row r="131" spans="1:1" x14ac:dyDescent="0.25">
      <c r="A131" s="39"/>
    </row>
    <row r="132" spans="1:1" x14ac:dyDescent="0.25">
      <c r="A132" s="39"/>
    </row>
    <row r="133" spans="1:1" x14ac:dyDescent="0.25">
      <c r="A133" s="39"/>
    </row>
    <row r="134" spans="1:1" x14ac:dyDescent="0.25">
      <c r="A134" s="39"/>
    </row>
    <row r="135" spans="1:1" x14ac:dyDescent="0.25">
      <c r="A135" s="39"/>
    </row>
    <row r="136" spans="1:1" x14ac:dyDescent="0.25">
      <c r="A136" s="39"/>
    </row>
    <row r="137" spans="1:1" x14ac:dyDescent="0.25">
      <c r="A137" s="39"/>
    </row>
    <row r="138" spans="1:1" x14ac:dyDescent="0.25">
      <c r="A138" s="39"/>
    </row>
    <row r="139" spans="1:1" x14ac:dyDescent="0.25">
      <c r="A139" s="39"/>
    </row>
    <row r="140" spans="1:1" x14ac:dyDescent="0.25">
      <c r="A140" s="39"/>
    </row>
    <row r="141" spans="1:1" x14ac:dyDescent="0.25">
      <c r="A141" s="39"/>
    </row>
    <row r="142" spans="1:1" x14ac:dyDescent="0.25">
      <c r="A142" s="39"/>
    </row>
    <row r="143" spans="1:1" x14ac:dyDescent="0.25">
      <c r="A143" s="39"/>
    </row>
    <row r="144" spans="1:1" x14ac:dyDescent="0.25">
      <c r="A144" s="39"/>
    </row>
    <row r="145" spans="1:1" x14ac:dyDescent="0.25">
      <c r="A145" s="39"/>
    </row>
    <row r="146" spans="1:1" x14ac:dyDescent="0.25">
      <c r="A146" s="39"/>
    </row>
    <row r="147" spans="1:1" x14ac:dyDescent="0.25">
      <c r="A147" s="39"/>
    </row>
    <row r="148" spans="1:1" x14ac:dyDescent="0.25">
      <c r="A148" s="39"/>
    </row>
    <row r="149" spans="1:1" x14ac:dyDescent="0.25">
      <c r="A149" s="39"/>
    </row>
    <row r="150" spans="1:1" x14ac:dyDescent="0.25">
      <c r="A150" s="39"/>
    </row>
    <row r="151" spans="1:1" x14ac:dyDescent="0.25">
      <c r="A151" s="39"/>
    </row>
    <row r="152" spans="1:1" x14ac:dyDescent="0.25">
      <c r="A152" s="39"/>
    </row>
    <row r="153" spans="1:1" x14ac:dyDescent="0.25">
      <c r="A153" s="39"/>
    </row>
    <row r="154" spans="1:1" x14ac:dyDescent="0.25">
      <c r="A154" s="39"/>
    </row>
    <row r="155" spans="1:1" x14ac:dyDescent="0.25">
      <c r="A155" s="39"/>
    </row>
    <row r="156" spans="1:1" x14ac:dyDescent="0.25">
      <c r="A156" s="39"/>
    </row>
    <row r="157" spans="1:1" x14ac:dyDescent="0.25">
      <c r="A157" s="39"/>
    </row>
    <row r="158" spans="1:1" x14ac:dyDescent="0.25">
      <c r="A158" s="39"/>
    </row>
    <row r="159" spans="1:1" x14ac:dyDescent="0.25">
      <c r="A159" s="39"/>
    </row>
    <row r="160" spans="1:1" x14ac:dyDescent="0.25">
      <c r="A160" s="39"/>
    </row>
    <row r="161" spans="1:1" x14ac:dyDescent="0.25">
      <c r="A161" s="39"/>
    </row>
    <row r="162" spans="1:1" x14ac:dyDescent="0.25">
      <c r="A162" s="39"/>
    </row>
    <row r="163" spans="1:1" x14ac:dyDescent="0.25">
      <c r="A163" s="39"/>
    </row>
    <row r="164" spans="1:1" x14ac:dyDescent="0.25">
      <c r="A164" s="39"/>
    </row>
    <row r="165" spans="1:1" x14ac:dyDescent="0.25">
      <c r="A165" s="39"/>
    </row>
    <row r="166" spans="1:1" x14ac:dyDescent="0.25">
      <c r="A166" s="39"/>
    </row>
    <row r="167" spans="1:1" x14ac:dyDescent="0.25">
      <c r="A167" s="39"/>
    </row>
    <row r="168" spans="1:1" x14ac:dyDescent="0.25">
      <c r="A168" s="39"/>
    </row>
    <row r="169" spans="1:1" x14ac:dyDescent="0.25">
      <c r="A169" s="39"/>
    </row>
    <row r="170" spans="1:1" x14ac:dyDescent="0.25">
      <c r="A170" s="39"/>
    </row>
    <row r="171" spans="1:1" x14ac:dyDescent="0.25">
      <c r="A171" s="3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785"/>
  <sheetViews>
    <sheetView topLeftCell="A73" workbookViewId="0">
      <selection activeCell="A8" sqref="A8:XFD8"/>
    </sheetView>
  </sheetViews>
  <sheetFormatPr defaultRowHeight="12.75" x14ac:dyDescent="0.2"/>
  <cols>
    <col min="1" max="1" width="27.7109375" style="90" bestFit="1" customWidth="1"/>
    <col min="2" max="2" width="8.7109375" style="90" bestFit="1" customWidth="1"/>
    <col min="3" max="3" width="27.7109375" style="90" bestFit="1" customWidth="1"/>
    <col min="4" max="4" width="9.42578125" style="90" bestFit="1" customWidth="1"/>
    <col min="5" max="5" width="9.5703125" style="90" bestFit="1" customWidth="1"/>
    <col min="6" max="6" width="6.140625" style="90" bestFit="1" customWidth="1"/>
    <col min="7" max="7" width="8.140625" style="90" bestFit="1" customWidth="1"/>
    <col min="8" max="8" width="9.5703125" style="90" bestFit="1" customWidth="1"/>
    <col min="9" max="9" width="10.85546875" style="90" bestFit="1" customWidth="1"/>
    <col min="10" max="16384" width="9.140625" style="90"/>
  </cols>
  <sheetData>
    <row r="1" spans="1:9" x14ac:dyDescent="0.2">
      <c r="A1" s="85" t="s">
        <v>229</v>
      </c>
      <c r="B1" s="86" t="s">
        <v>230</v>
      </c>
      <c r="C1" s="87" t="s">
        <v>231</v>
      </c>
      <c r="D1" s="87" t="s">
        <v>234</v>
      </c>
      <c r="E1" s="88" t="s">
        <v>235</v>
      </c>
      <c r="F1" s="88" t="s">
        <v>237</v>
      </c>
      <c r="G1" s="87" t="s">
        <v>238</v>
      </c>
      <c r="H1" s="89" t="s">
        <v>239</v>
      </c>
      <c r="I1" s="86" t="s">
        <v>240</v>
      </c>
    </row>
    <row r="2" spans="1:9" ht="13.5" x14ac:dyDescent="0.25">
      <c r="A2" s="91" t="s">
        <v>766</v>
      </c>
      <c r="B2" s="92" t="s">
        <v>245</v>
      </c>
      <c r="C2" s="91" t="s">
        <v>246</v>
      </c>
      <c r="D2" s="91" t="s">
        <v>256</v>
      </c>
      <c r="E2" s="93">
        <v>34861</v>
      </c>
      <c r="F2" s="94">
        <f t="shared" ref="F2:F7" ca="1" si="0">DATEDIF(E2,TODAY(),"Y")</f>
        <v>21</v>
      </c>
      <c r="G2" s="95" t="s">
        <v>257</v>
      </c>
      <c r="H2" s="96">
        <v>24550</v>
      </c>
      <c r="I2" s="97">
        <v>1</v>
      </c>
    </row>
    <row r="3" spans="1:9" ht="13.5" x14ac:dyDescent="0.25">
      <c r="A3" s="91" t="s">
        <v>1024</v>
      </c>
      <c r="B3" s="92" t="s">
        <v>245</v>
      </c>
      <c r="C3" s="91" t="s">
        <v>246</v>
      </c>
      <c r="D3" s="91" t="s">
        <v>247</v>
      </c>
      <c r="E3" s="93">
        <v>37107</v>
      </c>
      <c r="F3" s="94">
        <f t="shared" ca="1" si="0"/>
        <v>15</v>
      </c>
      <c r="G3" s="95"/>
      <c r="H3" s="96">
        <v>42540</v>
      </c>
      <c r="I3" s="97">
        <v>5</v>
      </c>
    </row>
    <row r="4" spans="1:9" ht="13.5" x14ac:dyDescent="0.25">
      <c r="A4" s="91" t="s">
        <v>627</v>
      </c>
      <c r="B4" s="92" t="s">
        <v>266</v>
      </c>
      <c r="C4" s="91" t="s">
        <v>246</v>
      </c>
      <c r="D4" s="91" t="s">
        <v>256</v>
      </c>
      <c r="E4" s="93">
        <v>38137</v>
      </c>
      <c r="F4" s="94">
        <f t="shared" ca="1" si="0"/>
        <v>12</v>
      </c>
      <c r="G4" s="95" t="s">
        <v>267</v>
      </c>
      <c r="H4" s="96">
        <v>72830</v>
      </c>
      <c r="I4" s="97">
        <v>2</v>
      </c>
    </row>
    <row r="5" spans="1:9" ht="13.5" x14ac:dyDescent="0.25">
      <c r="A5" s="91" t="s">
        <v>627</v>
      </c>
      <c r="B5" s="92" t="s">
        <v>266</v>
      </c>
      <c r="C5" s="91" t="s">
        <v>246</v>
      </c>
      <c r="D5" s="91" t="s">
        <v>256</v>
      </c>
      <c r="E5" s="93">
        <v>38137</v>
      </c>
      <c r="F5" s="94">
        <f t="shared" ca="1" si="0"/>
        <v>12</v>
      </c>
      <c r="G5" s="95" t="s">
        <v>267</v>
      </c>
      <c r="H5" s="96">
        <v>72830</v>
      </c>
      <c r="I5" s="97">
        <v>2</v>
      </c>
    </row>
    <row r="6" spans="1:9" ht="13.5" x14ac:dyDescent="0.25">
      <c r="A6" s="91" t="s">
        <v>619</v>
      </c>
      <c r="B6" s="92" t="s">
        <v>245</v>
      </c>
      <c r="C6" s="91" t="s">
        <v>246</v>
      </c>
      <c r="D6" s="91" t="s">
        <v>261</v>
      </c>
      <c r="E6" s="93">
        <v>31980</v>
      </c>
      <c r="F6" s="94">
        <f t="shared" ca="1" si="0"/>
        <v>29</v>
      </c>
      <c r="G6" s="95" t="s">
        <v>262</v>
      </c>
      <c r="H6" s="96">
        <v>26795</v>
      </c>
      <c r="I6" s="97">
        <v>4</v>
      </c>
    </row>
    <row r="7" spans="1:9" ht="13.5" x14ac:dyDescent="0.25">
      <c r="A7" s="91" t="s">
        <v>430</v>
      </c>
      <c r="B7" s="92" t="s">
        <v>251</v>
      </c>
      <c r="C7" s="91" t="s">
        <v>246</v>
      </c>
      <c r="D7" s="91" t="s">
        <v>252</v>
      </c>
      <c r="E7" s="93">
        <v>32536</v>
      </c>
      <c r="F7" s="94">
        <f t="shared" ca="1" si="0"/>
        <v>27</v>
      </c>
      <c r="G7" s="95"/>
      <c r="H7" s="96">
        <v>35680</v>
      </c>
      <c r="I7" s="97">
        <v>2</v>
      </c>
    </row>
    <row r="8" spans="1:9" ht="13.5" x14ac:dyDescent="0.25">
      <c r="A8" s="98"/>
      <c r="B8" s="92"/>
      <c r="C8" s="98"/>
      <c r="D8" s="91"/>
      <c r="E8" s="93"/>
      <c r="F8" s="94"/>
      <c r="G8" s="95"/>
      <c r="H8" s="96"/>
      <c r="I8" s="97"/>
    </row>
    <row r="9" spans="1:9" ht="13.5" x14ac:dyDescent="0.25">
      <c r="A9" s="91" t="s">
        <v>272</v>
      </c>
      <c r="B9" s="92" t="s">
        <v>271</v>
      </c>
      <c r="C9" s="91" t="s">
        <v>272</v>
      </c>
      <c r="D9" s="91" t="s">
        <v>261</v>
      </c>
      <c r="E9" s="93">
        <v>32164</v>
      </c>
      <c r="F9" s="94">
        <f t="shared" ref="F9:F25" ca="1" si="1">DATEDIF(E9,TODAY(),"Y")</f>
        <v>28</v>
      </c>
      <c r="G9" s="95" t="s">
        <v>262</v>
      </c>
      <c r="H9" s="96">
        <v>30445</v>
      </c>
      <c r="I9" s="97">
        <v>1</v>
      </c>
    </row>
    <row r="10" spans="1:9" ht="13.5" x14ac:dyDescent="0.25">
      <c r="A10" s="91" t="s">
        <v>272</v>
      </c>
      <c r="B10" s="92" t="s">
        <v>280</v>
      </c>
      <c r="C10" s="91" t="s">
        <v>272</v>
      </c>
      <c r="D10" s="91" t="s">
        <v>252</v>
      </c>
      <c r="E10" s="93">
        <v>32172</v>
      </c>
      <c r="F10" s="94">
        <f t="shared" ca="1" si="1"/>
        <v>28</v>
      </c>
      <c r="G10" s="95" t="s">
        <v>257</v>
      </c>
      <c r="H10" s="96">
        <v>29070</v>
      </c>
      <c r="I10" s="97">
        <v>3</v>
      </c>
    </row>
    <row r="11" spans="1:9" ht="13.5" x14ac:dyDescent="0.25">
      <c r="A11" s="91" t="s">
        <v>272</v>
      </c>
      <c r="B11" s="92" t="s">
        <v>285</v>
      </c>
      <c r="C11" s="91" t="s">
        <v>272</v>
      </c>
      <c r="D11" s="91" t="s">
        <v>256</v>
      </c>
      <c r="E11" s="93">
        <v>32521</v>
      </c>
      <c r="F11" s="94">
        <f t="shared" ca="1" si="1"/>
        <v>27</v>
      </c>
      <c r="G11" s="95" t="s">
        <v>257</v>
      </c>
      <c r="H11" s="96">
        <v>79760</v>
      </c>
      <c r="I11" s="97">
        <v>5</v>
      </c>
    </row>
    <row r="12" spans="1:9" ht="13.5" x14ac:dyDescent="0.25">
      <c r="A12" s="91" t="s">
        <v>272</v>
      </c>
      <c r="B12" s="92" t="s">
        <v>271</v>
      </c>
      <c r="C12" s="91" t="s">
        <v>272</v>
      </c>
      <c r="D12" s="91" t="s">
        <v>247</v>
      </c>
      <c r="E12" s="93">
        <v>32766</v>
      </c>
      <c r="F12" s="94">
        <f t="shared" ca="1" si="1"/>
        <v>27</v>
      </c>
      <c r="G12" s="95"/>
      <c r="H12" s="96">
        <v>66580</v>
      </c>
      <c r="I12" s="97">
        <v>5</v>
      </c>
    </row>
    <row r="13" spans="1:9" ht="13.5" x14ac:dyDescent="0.25">
      <c r="A13" s="91" t="s">
        <v>272</v>
      </c>
      <c r="B13" s="92" t="s">
        <v>285</v>
      </c>
      <c r="C13" s="91" t="s">
        <v>272</v>
      </c>
      <c r="D13" s="91" t="s">
        <v>256</v>
      </c>
      <c r="E13" s="93">
        <v>34154</v>
      </c>
      <c r="F13" s="94">
        <f t="shared" ca="1" si="1"/>
        <v>23</v>
      </c>
      <c r="G13" s="95" t="s">
        <v>257</v>
      </c>
      <c r="H13" s="96">
        <v>60830</v>
      </c>
      <c r="I13" s="97">
        <v>1</v>
      </c>
    </row>
    <row r="14" spans="1:9" ht="13.5" x14ac:dyDescent="0.25">
      <c r="A14" s="91" t="s">
        <v>272</v>
      </c>
      <c r="B14" s="92" t="s">
        <v>280</v>
      </c>
      <c r="C14" s="91" t="s">
        <v>272</v>
      </c>
      <c r="D14" s="91" t="s">
        <v>256</v>
      </c>
      <c r="E14" s="93">
        <v>34432</v>
      </c>
      <c r="F14" s="94">
        <f t="shared" ca="1" si="1"/>
        <v>22</v>
      </c>
      <c r="G14" s="95" t="s">
        <v>283</v>
      </c>
      <c r="H14" s="96">
        <v>85300</v>
      </c>
      <c r="I14" s="97">
        <v>2</v>
      </c>
    </row>
    <row r="15" spans="1:9" ht="13.5" x14ac:dyDescent="0.25">
      <c r="A15" s="91" t="s">
        <v>272</v>
      </c>
      <c r="B15" s="92" t="s">
        <v>251</v>
      </c>
      <c r="C15" s="91" t="s">
        <v>272</v>
      </c>
      <c r="D15" s="91" t="s">
        <v>256</v>
      </c>
      <c r="E15" s="93">
        <v>34833</v>
      </c>
      <c r="F15" s="94">
        <f t="shared" ca="1" si="1"/>
        <v>21</v>
      </c>
      <c r="G15" s="95" t="s">
        <v>283</v>
      </c>
      <c r="H15" s="96">
        <v>72090</v>
      </c>
      <c r="I15" s="97">
        <v>5</v>
      </c>
    </row>
    <row r="16" spans="1:9" ht="13.5" x14ac:dyDescent="0.25">
      <c r="A16" s="91" t="s">
        <v>272</v>
      </c>
      <c r="B16" s="92" t="s">
        <v>251</v>
      </c>
      <c r="C16" s="91" t="s">
        <v>272</v>
      </c>
      <c r="D16" s="91" t="s">
        <v>261</v>
      </c>
      <c r="E16" s="93">
        <v>34907</v>
      </c>
      <c r="F16" s="94">
        <f t="shared" ca="1" si="1"/>
        <v>21</v>
      </c>
      <c r="G16" s="95" t="s">
        <v>257</v>
      </c>
      <c r="H16" s="96">
        <v>15240</v>
      </c>
      <c r="I16" s="97">
        <v>1</v>
      </c>
    </row>
    <row r="17" spans="1:9" ht="13.5" x14ac:dyDescent="0.25">
      <c r="A17" s="91" t="s">
        <v>272</v>
      </c>
      <c r="B17" s="92" t="s">
        <v>285</v>
      </c>
      <c r="C17" s="91" t="s">
        <v>272</v>
      </c>
      <c r="D17" s="91" t="s">
        <v>256</v>
      </c>
      <c r="E17" s="93">
        <v>34950</v>
      </c>
      <c r="F17" s="94">
        <f t="shared" ca="1" si="1"/>
        <v>21</v>
      </c>
      <c r="G17" s="95" t="s">
        <v>257</v>
      </c>
      <c r="H17" s="96">
        <v>75150</v>
      </c>
      <c r="I17" s="97">
        <v>1</v>
      </c>
    </row>
    <row r="18" spans="1:9" ht="13.5" x14ac:dyDescent="0.25">
      <c r="A18" s="91" t="s">
        <v>272</v>
      </c>
      <c r="B18" s="92" t="s">
        <v>266</v>
      </c>
      <c r="C18" s="91" t="s">
        <v>272</v>
      </c>
      <c r="D18" s="91" t="s">
        <v>256</v>
      </c>
      <c r="E18" s="93">
        <v>35454</v>
      </c>
      <c r="F18" s="94">
        <f t="shared" ca="1" si="1"/>
        <v>19</v>
      </c>
      <c r="G18" s="95" t="s">
        <v>276</v>
      </c>
      <c r="H18" s="96">
        <v>74840</v>
      </c>
      <c r="I18" s="97">
        <v>4</v>
      </c>
    </row>
    <row r="19" spans="1:9" ht="13.5" x14ac:dyDescent="0.25">
      <c r="A19" s="91" t="s">
        <v>272</v>
      </c>
      <c r="B19" s="92" t="s">
        <v>245</v>
      </c>
      <c r="C19" s="91" t="s">
        <v>272</v>
      </c>
      <c r="D19" s="91" t="s">
        <v>247</v>
      </c>
      <c r="E19" s="93">
        <v>35467</v>
      </c>
      <c r="F19" s="94">
        <f t="shared" ca="1" si="1"/>
        <v>19</v>
      </c>
      <c r="G19" s="95"/>
      <c r="H19" s="96">
        <v>76690</v>
      </c>
      <c r="I19" s="97">
        <v>3</v>
      </c>
    </row>
    <row r="20" spans="1:9" ht="13.5" x14ac:dyDescent="0.25">
      <c r="A20" s="91" t="s">
        <v>272</v>
      </c>
      <c r="B20" s="92" t="s">
        <v>251</v>
      </c>
      <c r="C20" s="91" t="s">
        <v>272</v>
      </c>
      <c r="D20" s="91" t="s">
        <v>256</v>
      </c>
      <c r="E20" s="93">
        <v>36094</v>
      </c>
      <c r="F20" s="94">
        <f t="shared" ca="1" si="1"/>
        <v>18</v>
      </c>
      <c r="G20" s="95" t="s">
        <v>257</v>
      </c>
      <c r="H20" s="96">
        <v>30780</v>
      </c>
      <c r="I20" s="97">
        <v>4</v>
      </c>
    </row>
    <row r="21" spans="1:9" ht="13.5" x14ac:dyDescent="0.25">
      <c r="A21" s="91" t="s">
        <v>272</v>
      </c>
      <c r="B21" s="92" t="s">
        <v>271</v>
      </c>
      <c r="C21" s="91" t="s">
        <v>272</v>
      </c>
      <c r="D21" s="91" t="s">
        <v>261</v>
      </c>
      <c r="E21" s="93">
        <v>36472</v>
      </c>
      <c r="F21" s="94">
        <f t="shared" ca="1" si="1"/>
        <v>17</v>
      </c>
      <c r="G21" s="95" t="s">
        <v>276</v>
      </c>
      <c r="H21" s="96">
        <v>17735</v>
      </c>
      <c r="I21" s="97">
        <v>3</v>
      </c>
    </row>
    <row r="22" spans="1:9" ht="13.5" x14ac:dyDescent="0.25">
      <c r="A22" s="91" t="s">
        <v>272</v>
      </c>
      <c r="B22" s="92" t="s">
        <v>271</v>
      </c>
      <c r="C22" s="91" t="s">
        <v>272</v>
      </c>
      <c r="D22" s="91" t="s">
        <v>256</v>
      </c>
      <c r="E22" s="93">
        <v>36832</v>
      </c>
      <c r="F22" s="94">
        <f t="shared" ca="1" si="1"/>
        <v>16</v>
      </c>
      <c r="G22" s="95" t="s">
        <v>257</v>
      </c>
      <c r="H22" s="96">
        <v>49350</v>
      </c>
      <c r="I22" s="97">
        <v>4</v>
      </c>
    </row>
    <row r="23" spans="1:9" ht="13.5" x14ac:dyDescent="0.25">
      <c r="A23" s="91" t="s">
        <v>272</v>
      </c>
      <c r="B23" s="92" t="s">
        <v>266</v>
      </c>
      <c r="C23" s="91" t="s">
        <v>272</v>
      </c>
      <c r="D23" s="91" t="s">
        <v>256</v>
      </c>
      <c r="E23" s="93">
        <v>37759</v>
      </c>
      <c r="F23" s="94">
        <f t="shared" ca="1" si="1"/>
        <v>13</v>
      </c>
      <c r="G23" s="95" t="s">
        <v>267</v>
      </c>
      <c r="H23" s="96">
        <v>37670</v>
      </c>
      <c r="I23" s="97">
        <v>3</v>
      </c>
    </row>
    <row r="24" spans="1:9" ht="13.5" x14ac:dyDescent="0.25">
      <c r="A24" s="91" t="s">
        <v>272</v>
      </c>
      <c r="B24" s="92" t="s">
        <v>245</v>
      </c>
      <c r="C24" s="91" t="s">
        <v>272</v>
      </c>
      <c r="D24" s="91" t="s">
        <v>256</v>
      </c>
      <c r="E24" s="93">
        <v>38394</v>
      </c>
      <c r="F24" s="94">
        <f t="shared" ca="1" si="1"/>
        <v>11</v>
      </c>
      <c r="G24" s="95" t="s">
        <v>276</v>
      </c>
      <c r="H24" s="96">
        <v>58290</v>
      </c>
      <c r="I24" s="97">
        <v>5</v>
      </c>
    </row>
    <row r="25" spans="1:9" ht="13.5" x14ac:dyDescent="0.25">
      <c r="A25" s="91" t="s">
        <v>272</v>
      </c>
      <c r="B25" s="92" t="s">
        <v>245</v>
      </c>
      <c r="C25" s="91" t="s">
        <v>272</v>
      </c>
      <c r="D25" s="91" t="s">
        <v>252</v>
      </c>
      <c r="E25" s="93">
        <v>38816</v>
      </c>
      <c r="F25" s="94">
        <f t="shared" ca="1" si="1"/>
        <v>10</v>
      </c>
      <c r="G25" s="95"/>
      <c r="H25" s="96">
        <v>10636</v>
      </c>
      <c r="I25" s="97">
        <v>4</v>
      </c>
    </row>
    <row r="26" spans="1:9" ht="13.5" x14ac:dyDescent="0.25">
      <c r="A26" s="98"/>
      <c r="B26" s="92"/>
      <c r="C26" s="98"/>
      <c r="D26" s="91"/>
      <c r="E26" s="93"/>
      <c r="F26" s="94"/>
      <c r="G26" s="95"/>
      <c r="H26" s="96"/>
      <c r="I26" s="97"/>
    </row>
    <row r="27" spans="1:9" ht="13.5" x14ac:dyDescent="0.25">
      <c r="A27" s="91" t="s">
        <v>296</v>
      </c>
      <c r="B27" s="92" t="s">
        <v>245</v>
      </c>
      <c r="C27" s="91" t="s">
        <v>296</v>
      </c>
      <c r="D27" s="91" t="s">
        <v>256</v>
      </c>
      <c r="E27" s="93">
        <v>32241</v>
      </c>
      <c r="F27" s="94">
        <f t="shared" ref="F27:F36" ca="1" si="2">DATEDIF(E27,TODAY(),"Y")</f>
        <v>28</v>
      </c>
      <c r="G27" s="95" t="s">
        <v>262</v>
      </c>
      <c r="H27" s="96">
        <v>41350</v>
      </c>
      <c r="I27" s="97">
        <v>2</v>
      </c>
    </row>
    <row r="28" spans="1:9" ht="13.5" x14ac:dyDescent="0.25">
      <c r="A28" s="91" t="s">
        <v>296</v>
      </c>
      <c r="B28" s="92" t="s">
        <v>285</v>
      </c>
      <c r="C28" s="91" t="s">
        <v>296</v>
      </c>
      <c r="D28" s="91" t="s">
        <v>256</v>
      </c>
      <c r="E28" s="93">
        <v>32991</v>
      </c>
      <c r="F28" s="94">
        <f t="shared" ca="1" si="2"/>
        <v>26</v>
      </c>
      <c r="G28" s="95" t="s">
        <v>257</v>
      </c>
      <c r="H28" s="96">
        <v>73440</v>
      </c>
      <c r="I28" s="97">
        <v>1</v>
      </c>
    </row>
    <row r="29" spans="1:9" ht="13.5" x14ac:dyDescent="0.25">
      <c r="A29" s="91" t="s">
        <v>296</v>
      </c>
      <c r="B29" s="92" t="s">
        <v>271</v>
      </c>
      <c r="C29" s="91" t="s">
        <v>296</v>
      </c>
      <c r="D29" s="91" t="s">
        <v>256</v>
      </c>
      <c r="E29" s="93">
        <v>34149</v>
      </c>
      <c r="F29" s="94">
        <f t="shared" ca="1" si="2"/>
        <v>23</v>
      </c>
      <c r="G29" s="95" t="s">
        <v>283</v>
      </c>
      <c r="H29" s="96">
        <v>49360</v>
      </c>
      <c r="I29" s="97">
        <v>2</v>
      </c>
    </row>
    <row r="30" spans="1:9" ht="13.5" x14ac:dyDescent="0.25">
      <c r="A30" s="91" t="s">
        <v>296</v>
      </c>
      <c r="B30" s="92" t="s">
        <v>245</v>
      </c>
      <c r="C30" s="91" t="s">
        <v>296</v>
      </c>
      <c r="D30" s="91" t="s">
        <v>261</v>
      </c>
      <c r="E30" s="93">
        <v>34254</v>
      </c>
      <c r="F30" s="94">
        <f t="shared" ca="1" si="2"/>
        <v>23</v>
      </c>
      <c r="G30" s="95" t="s">
        <v>257</v>
      </c>
      <c r="H30" s="96">
        <v>11025</v>
      </c>
      <c r="I30" s="97">
        <v>1</v>
      </c>
    </row>
    <row r="31" spans="1:9" ht="13.5" x14ac:dyDescent="0.25">
      <c r="A31" s="91" t="s">
        <v>296</v>
      </c>
      <c r="B31" s="92" t="s">
        <v>271</v>
      </c>
      <c r="C31" s="91" t="s">
        <v>296</v>
      </c>
      <c r="D31" s="91" t="s">
        <v>252</v>
      </c>
      <c r="E31" s="93">
        <v>34364</v>
      </c>
      <c r="F31" s="94">
        <f t="shared" ca="1" si="2"/>
        <v>22</v>
      </c>
      <c r="G31" s="95"/>
      <c r="H31" s="96">
        <v>20028</v>
      </c>
      <c r="I31" s="97">
        <v>4</v>
      </c>
    </row>
    <row r="32" spans="1:9" ht="13.5" x14ac:dyDescent="0.25">
      <c r="A32" s="91" t="s">
        <v>296</v>
      </c>
      <c r="B32" s="92" t="s">
        <v>285</v>
      </c>
      <c r="C32" s="91" t="s">
        <v>296</v>
      </c>
      <c r="D32" s="91" t="s">
        <v>256</v>
      </c>
      <c r="E32" s="93">
        <v>34904</v>
      </c>
      <c r="F32" s="94">
        <f t="shared" ca="1" si="2"/>
        <v>21</v>
      </c>
      <c r="G32" s="95" t="s">
        <v>276</v>
      </c>
      <c r="H32" s="96">
        <v>47850</v>
      </c>
      <c r="I32" s="97">
        <v>1</v>
      </c>
    </row>
    <row r="33" spans="1:9" ht="13.5" x14ac:dyDescent="0.25">
      <c r="A33" s="91" t="s">
        <v>296</v>
      </c>
      <c r="B33" s="92" t="s">
        <v>245</v>
      </c>
      <c r="C33" s="91" t="s">
        <v>296</v>
      </c>
      <c r="D33" s="91" t="s">
        <v>256</v>
      </c>
      <c r="E33" s="93">
        <v>35309</v>
      </c>
      <c r="F33" s="94">
        <f t="shared" ca="1" si="2"/>
        <v>20</v>
      </c>
      <c r="G33" s="95" t="s">
        <v>267</v>
      </c>
      <c r="H33" s="96">
        <v>56440</v>
      </c>
      <c r="I33" s="97">
        <v>1</v>
      </c>
    </row>
    <row r="34" spans="1:9" ht="13.5" x14ac:dyDescent="0.25">
      <c r="A34" s="91" t="s">
        <v>296</v>
      </c>
      <c r="B34" s="92" t="s">
        <v>245</v>
      </c>
      <c r="C34" s="91" t="s">
        <v>296</v>
      </c>
      <c r="D34" s="91" t="s">
        <v>256</v>
      </c>
      <c r="E34" s="93">
        <v>35583</v>
      </c>
      <c r="F34" s="94">
        <f t="shared" ca="1" si="2"/>
        <v>19</v>
      </c>
      <c r="G34" s="95" t="s">
        <v>283</v>
      </c>
      <c r="H34" s="96">
        <v>33640</v>
      </c>
      <c r="I34" s="97">
        <v>3</v>
      </c>
    </row>
    <row r="35" spans="1:9" ht="13.5" x14ac:dyDescent="0.25">
      <c r="A35" s="91" t="s">
        <v>296</v>
      </c>
      <c r="B35" s="92" t="s">
        <v>251</v>
      </c>
      <c r="C35" s="91" t="s">
        <v>296</v>
      </c>
      <c r="D35" s="91" t="s">
        <v>256</v>
      </c>
      <c r="E35" s="93">
        <v>36741</v>
      </c>
      <c r="F35" s="94">
        <f t="shared" ca="1" si="2"/>
        <v>16</v>
      </c>
      <c r="G35" s="95" t="s">
        <v>257</v>
      </c>
      <c r="H35" s="96">
        <v>30350</v>
      </c>
      <c r="I35" s="97">
        <v>1</v>
      </c>
    </row>
    <row r="36" spans="1:9" ht="13.5" x14ac:dyDescent="0.25">
      <c r="A36" s="91" t="s">
        <v>296</v>
      </c>
      <c r="B36" s="92" t="s">
        <v>245</v>
      </c>
      <c r="C36" s="91" t="s">
        <v>296</v>
      </c>
      <c r="D36" s="91" t="s">
        <v>256</v>
      </c>
      <c r="E36" s="93">
        <v>38796</v>
      </c>
      <c r="F36" s="94">
        <f t="shared" ca="1" si="2"/>
        <v>10</v>
      </c>
      <c r="G36" s="95" t="s">
        <v>262</v>
      </c>
      <c r="H36" s="96">
        <v>51180</v>
      </c>
      <c r="I36" s="97">
        <v>3</v>
      </c>
    </row>
    <row r="37" spans="1:9" ht="13.5" x14ac:dyDescent="0.25">
      <c r="A37" s="98"/>
      <c r="B37" s="92"/>
      <c r="C37" s="98"/>
      <c r="D37" s="91"/>
      <c r="E37" s="93"/>
      <c r="F37" s="94"/>
      <c r="G37" s="95"/>
      <c r="H37" s="96"/>
      <c r="I37" s="97"/>
    </row>
    <row r="38" spans="1:9" ht="13.5" x14ac:dyDescent="0.25">
      <c r="A38" s="91" t="s">
        <v>307</v>
      </c>
      <c r="B38" s="92" t="s">
        <v>285</v>
      </c>
      <c r="C38" s="91" t="s">
        <v>307</v>
      </c>
      <c r="D38" s="91" t="s">
        <v>256</v>
      </c>
      <c r="E38" s="93">
        <v>32403</v>
      </c>
      <c r="F38" s="94">
        <f ca="1">DATEDIF(E38,TODAY(),"Y")</f>
        <v>28</v>
      </c>
      <c r="G38" s="95" t="s">
        <v>257</v>
      </c>
      <c r="H38" s="96">
        <v>46220</v>
      </c>
      <c r="I38" s="97">
        <v>3</v>
      </c>
    </row>
    <row r="39" spans="1:9" ht="13.5" x14ac:dyDescent="0.25">
      <c r="A39" s="91" t="s">
        <v>307</v>
      </c>
      <c r="B39" s="92" t="s">
        <v>280</v>
      </c>
      <c r="C39" s="91" t="s">
        <v>307</v>
      </c>
      <c r="D39" s="91" t="s">
        <v>247</v>
      </c>
      <c r="E39" s="93">
        <v>34085</v>
      </c>
      <c r="F39" s="94">
        <f ca="1">DATEDIF(E39,TODAY(),"Y")</f>
        <v>23</v>
      </c>
      <c r="G39" s="95"/>
      <c r="H39" s="96">
        <v>58130</v>
      </c>
      <c r="I39" s="97">
        <v>2</v>
      </c>
    </row>
    <row r="40" spans="1:9" ht="13.5" x14ac:dyDescent="0.25">
      <c r="A40" s="91" t="s">
        <v>307</v>
      </c>
      <c r="B40" s="92" t="s">
        <v>285</v>
      </c>
      <c r="C40" s="91" t="s">
        <v>307</v>
      </c>
      <c r="D40" s="91" t="s">
        <v>261</v>
      </c>
      <c r="E40" s="93">
        <v>38107</v>
      </c>
      <c r="F40" s="94">
        <f ca="1">DATEDIF(E40,TODAY(),"Y")</f>
        <v>12</v>
      </c>
      <c r="G40" s="95" t="s">
        <v>267</v>
      </c>
      <c r="H40" s="96">
        <v>46095</v>
      </c>
      <c r="I40" s="97">
        <v>3</v>
      </c>
    </row>
    <row r="41" spans="1:9" ht="13.5" x14ac:dyDescent="0.25">
      <c r="A41" s="91" t="s">
        <v>307</v>
      </c>
      <c r="B41" s="92" t="s">
        <v>271</v>
      </c>
      <c r="C41" s="91" t="s">
        <v>307</v>
      </c>
      <c r="D41" s="91" t="s">
        <v>261</v>
      </c>
      <c r="E41" s="93">
        <v>38842</v>
      </c>
      <c r="F41" s="94">
        <f ca="1">DATEDIF(E41,TODAY(),"Y")</f>
        <v>10</v>
      </c>
      <c r="G41" s="95" t="s">
        <v>283</v>
      </c>
      <c r="H41" s="96">
        <v>28680</v>
      </c>
      <c r="I41" s="97">
        <v>1</v>
      </c>
    </row>
    <row r="42" spans="1:9" ht="13.5" x14ac:dyDescent="0.25">
      <c r="A42" s="98"/>
      <c r="B42" s="92"/>
      <c r="C42" s="98"/>
      <c r="D42" s="91"/>
      <c r="E42" s="93"/>
      <c r="F42" s="94"/>
      <c r="G42" s="95"/>
      <c r="H42" s="96"/>
      <c r="I42" s="97"/>
    </row>
    <row r="43" spans="1:9" ht="13.5" x14ac:dyDescent="0.25">
      <c r="A43" s="91" t="s">
        <v>312</v>
      </c>
      <c r="B43" s="92" t="s">
        <v>271</v>
      </c>
      <c r="C43" s="91" t="s">
        <v>312</v>
      </c>
      <c r="D43" s="91" t="s">
        <v>247</v>
      </c>
      <c r="E43" s="93">
        <v>31918</v>
      </c>
      <c r="F43" s="94">
        <f t="shared" ref="F43:F74" ca="1" si="3">DATEDIF(E43,TODAY(),"Y")</f>
        <v>29</v>
      </c>
      <c r="G43" s="95"/>
      <c r="H43" s="96">
        <v>42940</v>
      </c>
      <c r="I43" s="97">
        <v>1</v>
      </c>
    </row>
    <row r="44" spans="1:9" ht="13.5" x14ac:dyDescent="0.25">
      <c r="A44" s="91" t="s">
        <v>312</v>
      </c>
      <c r="B44" s="92" t="s">
        <v>245</v>
      </c>
      <c r="C44" s="91" t="s">
        <v>312</v>
      </c>
      <c r="D44" s="91" t="s">
        <v>256</v>
      </c>
      <c r="E44" s="93">
        <v>32038</v>
      </c>
      <c r="F44" s="94">
        <f t="shared" ca="1" si="3"/>
        <v>29</v>
      </c>
      <c r="G44" s="95" t="s">
        <v>276</v>
      </c>
      <c r="H44" s="96">
        <v>49810</v>
      </c>
      <c r="I44" s="97">
        <v>2</v>
      </c>
    </row>
    <row r="45" spans="1:9" ht="13.5" x14ac:dyDescent="0.25">
      <c r="A45" s="91" t="s">
        <v>312</v>
      </c>
      <c r="B45" s="92" t="s">
        <v>285</v>
      </c>
      <c r="C45" s="91" t="s">
        <v>312</v>
      </c>
      <c r="D45" s="91" t="s">
        <v>261</v>
      </c>
      <c r="E45" s="93">
        <v>32162</v>
      </c>
      <c r="F45" s="94">
        <f t="shared" ca="1" si="3"/>
        <v>28</v>
      </c>
      <c r="G45" s="95" t="s">
        <v>262</v>
      </c>
      <c r="H45" s="96">
        <v>13800</v>
      </c>
      <c r="I45" s="97">
        <v>3</v>
      </c>
    </row>
    <row r="46" spans="1:9" ht="13.5" x14ac:dyDescent="0.25">
      <c r="A46" s="91" t="s">
        <v>312</v>
      </c>
      <c r="B46" s="92" t="s">
        <v>271</v>
      </c>
      <c r="C46" s="91" t="s">
        <v>312</v>
      </c>
      <c r="D46" s="91" t="s">
        <v>256</v>
      </c>
      <c r="E46" s="93">
        <v>32217</v>
      </c>
      <c r="F46" s="94">
        <f t="shared" ca="1" si="3"/>
        <v>28</v>
      </c>
      <c r="G46" s="95" t="s">
        <v>283</v>
      </c>
      <c r="H46" s="96">
        <v>85920</v>
      </c>
      <c r="I46" s="97">
        <v>4</v>
      </c>
    </row>
    <row r="47" spans="1:9" ht="13.5" x14ac:dyDescent="0.25">
      <c r="A47" s="91" t="s">
        <v>312</v>
      </c>
      <c r="B47" s="92" t="s">
        <v>271</v>
      </c>
      <c r="C47" s="91" t="s">
        <v>312</v>
      </c>
      <c r="D47" s="91" t="s">
        <v>256</v>
      </c>
      <c r="E47" s="93">
        <v>32265</v>
      </c>
      <c r="F47" s="94">
        <f t="shared" ca="1" si="3"/>
        <v>28</v>
      </c>
      <c r="G47" s="95" t="s">
        <v>262</v>
      </c>
      <c r="H47" s="96">
        <v>61400</v>
      </c>
      <c r="I47" s="97">
        <v>5</v>
      </c>
    </row>
    <row r="48" spans="1:9" ht="13.5" x14ac:dyDescent="0.25">
      <c r="A48" s="91" t="s">
        <v>312</v>
      </c>
      <c r="B48" s="92" t="s">
        <v>285</v>
      </c>
      <c r="C48" s="91" t="s">
        <v>312</v>
      </c>
      <c r="D48" s="91" t="s">
        <v>252</v>
      </c>
      <c r="E48" s="93">
        <v>32310</v>
      </c>
      <c r="F48" s="94">
        <f t="shared" ca="1" si="3"/>
        <v>28</v>
      </c>
      <c r="G48" s="95"/>
      <c r="H48" s="96">
        <v>14568</v>
      </c>
      <c r="I48" s="97">
        <v>3</v>
      </c>
    </row>
    <row r="49" spans="1:9" ht="13.5" x14ac:dyDescent="0.25">
      <c r="A49" s="91" t="s">
        <v>312</v>
      </c>
      <c r="B49" s="92" t="s">
        <v>251</v>
      </c>
      <c r="C49" s="91" t="s">
        <v>312</v>
      </c>
      <c r="D49" s="91" t="s">
        <v>247</v>
      </c>
      <c r="E49" s="93">
        <v>32368</v>
      </c>
      <c r="F49" s="94">
        <f t="shared" ca="1" si="3"/>
        <v>28</v>
      </c>
      <c r="G49" s="95"/>
      <c r="H49" s="96">
        <v>64460</v>
      </c>
      <c r="I49" s="97">
        <v>1</v>
      </c>
    </row>
    <row r="50" spans="1:9" ht="13.5" x14ac:dyDescent="0.25">
      <c r="A50" s="91" t="s">
        <v>312</v>
      </c>
      <c r="B50" s="92" t="s">
        <v>285</v>
      </c>
      <c r="C50" s="91" t="s">
        <v>312</v>
      </c>
      <c r="D50" s="91" t="s">
        <v>256</v>
      </c>
      <c r="E50" s="93">
        <v>32436</v>
      </c>
      <c r="F50" s="94">
        <f t="shared" ca="1" si="3"/>
        <v>28</v>
      </c>
      <c r="G50" s="95" t="s">
        <v>262</v>
      </c>
      <c r="H50" s="96">
        <v>31830</v>
      </c>
      <c r="I50" s="97">
        <v>3</v>
      </c>
    </row>
    <row r="51" spans="1:9" ht="13.5" x14ac:dyDescent="0.25">
      <c r="A51" s="91" t="s">
        <v>312</v>
      </c>
      <c r="B51" s="92" t="s">
        <v>245</v>
      </c>
      <c r="C51" s="91" t="s">
        <v>312</v>
      </c>
      <c r="D51" s="91" t="s">
        <v>256</v>
      </c>
      <c r="E51" s="93">
        <v>32476</v>
      </c>
      <c r="F51" s="94">
        <f t="shared" ca="1" si="3"/>
        <v>27</v>
      </c>
      <c r="G51" s="95" t="s">
        <v>257</v>
      </c>
      <c r="H51" s="96">
        <v>71150</v>
      </c>
      <c r="I51" s="97">
        <v>2</v>
      </c>
    </row>
    <row r="52" spans="1:9" ht="13.5" x14ac:dyDescent="0.25">
      <c r="A52" s="91" t="s">
        <v>312</v>
      </c>
      <c r="B52" s="92" t="s">
        <v>285</v>
      </c>
      <c r="C52" s="91" t="s">
        <v>312</v>
      </c>
      <c r="D52" s="91" t="s">
        <v>256</v>
      </c>
      <c r="E52" s="93">
        <v>32585</v>
      </c>
      <c r="F52" s="94">
        <f t="shared" ca="1" si="3"/>
        <v>27</v>
      </c>
      <c r="G52" s="95" t="s">
        <v>283</v>
      </c>
      <c r="H52" s="96">
        <v>71670</v>
      </c>
      <c r="I52" s="97">
        <v>4</v>
      </c>
    </row>
    <row r="53" spans="1:9" ht="13.5" x14ac:dyDescent="0.25">
      <c r="A53" s="91" t="s">
        <v>312</v>
      </c>
      <c r="B53" s="92" t="s">
        <v>245</v>
      </c>
      <c r="C53" s="91" t="s">
        <v>312</v>
      </c>
      <c r="D53" s="91" t="s">
        <v>247</v>
      </c>
      <c r="E53" s="93">
        <v>32671</v>
      </c>
      <c r="F53" s="94">
        <f t="shared" ca="1" si="3"/>
        <v>27</v>
      </c>
      <c r="G53" s="95"/>
      <c r="H53" s="96">
        <v>83020</v>
      </c>
      <c r="I53" s="97">
        <v>4</v>
      </c>
    </row>
    <row r="54" spans="1:9" ht="13.5" x14ac:dyDescent="0.25">
      <c r="A54" s="91" t="s">
        <v>312</v>
      </c>
      <c r="B54" s="92" t="s">
        <v>271</v>
      </c>
      <c r="C54" s="91" t="s">
        <v>312</v>
      </c>
      <c r="D54" s="91" t="s">
        <v>261</v>
      </c>
      <c r="E54" s="93">
        <v>32856</v>
      </c>
      <c r="F54" s="94">
        <f t="shared" ca="1" si="3"/>
        <v>26</v>
      </c>
      <c r="G54" s="95" t="s">
        <v>257</v>
      </c>
      <c r="H54" s="96">
        <v>26890</v>
      </c>
      <c r="I54" s="97">
        <v>3</v>
      </c>
    </row>
    <row r="55" spans="1:9" ht="13.5" x14ac:dyDescent="0.25">
      <c r="A55" s="91" t="s">
        <v>312</v>
      </c>
      <c r="B55" s="92" t="s">
        <v>285</v>
      </c>
      <c r="C55" s="91" t="s">
        <v>312</v>
      </c>
      <c r="D55" s="91" t="s">
        <v>256</v>
      </c>
      <c r="E55" s="93">
        <v>33164</v>
      </c>
      <c r="F55" s="94">
        <f t="shared" ca="1" si="3"/>
        <v>26</v>
      </c>
      <c r="G55" s="95" t="s">
        <v>262</v>
      </c>
      <c r="H55" s="96">
        <v>74670</v>
      </c>
      <c r="I55" s="97">
        <v>5</v>
      </c>
    </row>
    <row r="56" spans="1:9" ht="13.5" x14ac:dyDescent="0.25">
      <c r="A56" s="91" t="s">
        <v>312</v>
      </c>
      <c r="B56" s="92" t="s">
        <v>285</v>
      </c>
      <c r="C56" s="91" t="s">
        <v>312</v>
      </c>
      <c r="D56" s="91" t="s">
        <v>261</v>
      </c>
      <c r="E56" s="93">
        <v>33238</v>
      </c>
      <c r="F56" s="94">
        <f t="shared" ca="1" si="3"/>
        <v>25</v>
      </c>
      <c r="G56" s="95" t="s">
        <v>276</v>
      </c>
      <c r="H56" s="96">
        <v>38920</v>
      </c>
      <c r="I56" s="97">
        <v>4</v>
      </c>
    </row>
    <row r="57" spans="1:9" ht="13.5" x14ac:dyDescent="0.25">
      <c r="A57" s="91" t="s">
        <v>312</v>
      </c>
      <c r="B57" s="92" t="s">
        <v>285</v>
      </c>
      <c r="C57" s="91" t="s">
        <v>312</v>
      </c>
      <c r="D57" s="91" t="s">
        <v>247</v>
      </c>
      <c r="E57" s="93">
        <v>33341</v>
      </c>
      <c r="F57" s="94">
        <f t="shared" ca="1" si="3"/>
        <v>25</v>
      </c>
      <c r="G57" s="95"/>
      <c r="H57" s="96">
        <v>46670</v>
      </c>
      <c r="I57" s="97">
        <v>3</v>
      </c>
    </row>
    <row r="58" spans="1:9" ht="13.5" x14ac:dyDescent="0.25">
      <c r="A58" s="91" t="s">
        <v>312</v>
      </c>
      <c r="B58" s="92" t="s">
        <v>271</v>
      </c>
      <c r="C58" s="91" t="s">
        <v>312</v>
      </c>
      <c r="D58" s="91" t="s">
        <v>256</v>
      </c>
      <c r="E58" s="93">
        <v>33522</v>
      </c>
      <c r="F58" s="94">
        <f t="shared" ca="1" si="3"/>
        <v>25</v>
      </c>
      <c r="G58" s="95" t="s">
        <v>257</v>
      </c>
      <c r="H58" s="96">
        <v>31910</v>
      </c>
      <c r="I58" s="97">
        <v>5</v>
      </c>
    </row>
    <row r="59" spans="1:9" ht="13.5" x14ac:dyDescent="0.25">
      <c r="A59" s="91" t="s">
        <v>312</v>
      </c>
      <c r="B59" s="92" t="s">
        <v>266</v>
      </c>
      <c r="C59" s="91" t="s">
        <v>312</v>
      </c>
      <c r="D59" s="91" t="s">
        <v>256</v>
      </c>
      <c r="E59" s="93">
        <v>33686</v>
      </c>
      <c r="F59" s="94">
        <f t="shared" ca="1" si="3"/>
        <v>24</v>
      </c>
      <c r="G59" s="95" t="s">
        <v>257</v>
      </c>
      <c r="H59" s="96">
        <v>67890</v>
      </c>
      <c r="I59" s="97">
        <v>5</v>
      </c>
    </row>
    <row r="60" spans="1:9" ht="13.5" x14ac:dyDescent="0.25">
      <c r="A60" s="91" t="s">
        <v>312</v>
      </c>
      <c r="B60" s="92" t="s">
        <v>271</v>
      </c>
      <c r="C60" s="91" t="s">
        <v>312</v>
      </c>
      <c r="D60" s="91" t="s">
        <v>256</v>
      </c>
      <c r="E60" s="93">
        <v>33776</v>
      </c>
      <c r="F60" s="94">
        <f t="shared" ca="1" si="3"/>
        <v>24</v>
      </c>
      <c r="G60" s="95" t="s">
        <v>267</v>
      </c>
      <c r="H60" s="96">
        <v>77350</v>
      </c>
      <c r="I60" s="97">
        <v>5</v>
      </c>
    </row>
    <row r="61" spans="1:9" ht="13.5" x14ac:dyDescent="0.25">
      <c r="A61" s="91" t="s">
        <v>312</v>
      </c>
      <c r="B61" s="92" t="s">
        <v>280</v>
      </c>
      <c r="C61" s="91" t="s">
        <v>312</v>
      </c>
      <c r="D61" s="91" t="s">
        <v>247</v>
      </c>
      <c r="E61" s="93">
        <v>33809</v>
      </c>
      <c r="F61" s="94">
        <f t="shared" ca="1" si="3"/>
        <v>24</v>
      </c>
      <c r="G61" s="95"/>
      <c r="H61" s="96">
        <v>64390</v>
      </c>
      <c r="I61" s="97">
        <v>2</v>
      </c>
    </row>
    <row r="62" spans="1:9" ht="13.5" x14ac:dyDescent="0.25">
      <c r="A62" s="91" t="s">
        <v>312</v>
      </c>
      <c r="B62" s="92" t="s">
        <v>245</v>
      </c>
      <c r="C62" s="91" t="s">
        <v>312</v>
      </c>
      <c r="D62" s="91" t="s">
        <v>247</v>
      </c>
      <c r="E62" s="93">
        <v>33850</v>
      </c>
      <c r="F62" s="94">
        <f t="shared" ca="1" si="3"/>
        <v>24</v>
      </c>
      <c r="G62" s="95"/>
      <c r="H62" s="96">
        <v>50550</v>
      </c>
      <c r="I62" s="97">
        <v>2</v>
      </c>
    </row>
    <row r="63" spans="1:9" ht="13.5" x14ac:dyDescent="0.25">
      <c r="A63" s="91" t="s">
        <v>312</v>
      </c>
      <c r="B63" s="92" t="s">
        <v>251</v>
      </c>
      <c r="C63" s="91" t="s">
        <v>312</v>
      </c>
      <c r="D63" s="91" t="s">
        <v>256</v>
      </c>
      <c r="E63" s="93">
        <v>33887</v>
      </c>
      <c r="F63" s="94">
        <f t="shared" ca="1" si="3"/>
        <v>24</v>
      </c>
      <c r="G63" s="95" t="s">
        <v>276</v>
      </c>
      <c r="H63" s="96">
        <v>82120</v>
      </c>
      <c r="I63" s="97">
        <v>5</v>
      </c>
    </row>
    <row r="64" spans="1:9" ht="13.5" x14ac:dyDescent="0.25">
      <c r="A64" s="91" t="s">
        <v>312</v>
      </c>
      <c r="B64" s="92" t="s">
        <v>285</v>
      </c>
      <c r="C64" s="91" t="s">
        <v>312</v>
      </c>
      <c r="D64" s="91" t="s">
        <v>256</v>
      </c>
      <c r="E64" s="93">
        <v>33897</v>
      </c>
      <c r="F64" s="94">
        <f t="shared" ca="1" si="3"/>
        <v>24</v>
      </c>
      <c r="G64" s="95" t="s">
        <v>267</v>
      </c>
      <c r="H64" s="96">
        <v>77580</v>
      </c>
      <c r="I64" s="97">
        <v>3</v>
      </c>
    </row>
    <row r="65" spans="1:9" ht="13.5" x14ac:dyDescent="0.25">
      <c r="A65" s="91" t="s">
        <v>312</v>
      </c>
      <c r="B65" s="92" t="s">
        <v>285</v>
      </c>
      <c r="C65" s="91" t="s">
        <v>312</v>
      </c>
      <c r="D65" s="91" t="s">
        <v>247</v>
      </c>
      <c r="E65" s="93">
        <v>33945</v>
      </c>
      <c r="F65" s="94">
        <f t="shared" ca="1" si="3"/>
        <v>23</v>
      </c>
      <c r="G65" s="95"/>
      <c r="H65" s="96">
        <v>89310</v>
      </c>
      <c r="I65" s="97">
        <v>5</v>
      </c>
    </row>
    <row r="66" spans="1:9" ht="13.5" x14ac:dyDescent="0.25">
      <c r="A66" s="91" t="s">
        <v>312</v>
      </c>
      <c r="B66" s="92" t="s">
        <v>271</v>
      </c>
      <c r="C66" s="91" t="s">
        <v>312</v>
      </c>
      <c r="D66" s="91" t="s">
        <v>247</v>
      </c>
      <c r="E66" s="93">
        <v>34195</v>
      </c>
      <c r="F66" s="94">
        <f t="shared" ca="1" si="3"/>
        <v>23</v>
      </c>
      <c r="G66" s="95"/>
      <c r="H66" s="96">
        <v>74740</v>
      </c>
      <c r="I66" s="97">
        <v>5</v>
      </c>
    </row>
    <row r="67" spans="1:9" ht="13.5" x14ac:dyDescent="0.25">
      <c r="A67" s="91" t="s">
        <v>312</v>
      </c>
      <c r="B67" s="92" t="s">
        <v>245</v>
      </c>
      <c r="C67" s="91" t="s">
        <v>312</v>
      </c>
      <c r="D67" s="91" t="s">
        <v>261</v>
      </c>
      <c r="E67" s="93">
        <v>34207</v>
      </c>
      <c r="F67" s="94">
        <f t="shared" ca="1" si="3"/>
        <v>23</v>
      </c>
      <c r="G67" s="95" t="s">
        <v>267</v>
      </c>
      <c r="H67" s="96">
        <v>48415</v>
      </c>
      <c r="I67" s="97">
        <v>4</v>
      </c>
    </row>
    <row r="68" spans="1:9" ht="13.5" x14ac:dyDescent="0.25">
      <c r="A68" s="91" t="s">
        <v>312</v>
      </c>
      <c r="B68" s="92" t="s">
        <v>285</v>
      </c>
      <c r="C68" s="91" t="s">
        <v>312</v>
      </c>
      <c r="D68" s="91" t="s">
        <v>247</v>
      </c>
      <c r="E68" s="93">
        <v>34259</v>
      </c>
      <c r="F68" s="94">
        <f t="shared" ca="1" si="3"/>
        <v>23</v>
      </c>
      <c r="G68" s="95"/>
      <c r="H68" s="96">
        <v>84200</v>
      </c>
      <c r="I68" s="97">
        <v>2</v>
      </c>
    </row>
    <row r="69" spans="1:9" ht="13.5" x14ac:dyDescent="0.25">
      <c r="A69" s="91" t="s">
        <v>312</v>
      </c>
      <c r="B69" s="92" t="s">
        <v>245</v>
      </c>
      <c r="C69" s="91" t="s">
        <v>312</v>
      </c>
      <c r="D69" s="91" t="s">
        <v>256</v>
      </c>
      <c r="E69" s="93">
        <v>34357</v>
      </c>
      <c r="F69" s="94">
        <f t="shared" ca="1" si="3"/>
        <v>22</v>
      </c>
      <c r="G69" s="95" t="s">
        <v>257</v>
      </c>
      <c r="H69" s="96">
        <v>40920</v>
      </c>
      <c r="I69" s="97">
        <v>4</v>
      </c>
    </row>
    <row r="70" spans="1:9" ht="13.5" x14ac:dyDescent="0.25">
      <c r="A70" s="91" t="s">
        <v>312</v>
      </c>
      <c r="B70" s="92" t="s">
        <v>285</v>
      </c>
      <c r="C70" s="91" t="s">
        <v>312</v>
      </c>
      <c r="D70" s="91" t="s">
        <v>256</v>
      </c>
      <c r="E70" s="93">
        <v>34519</v>
      </c>
      <c r="F70" s="94">
        <f t="shared" ca="1" si="3"/>
        <v>22</v>
      </c>
      <c r="G70" s="95" t="s">
        <v>257</v>
      </c>
      <c r="H70" s="96">
        <v>61030</v>
      </c>
      <c r="I70" s="97">
        <v>3</v>
      </c>
    </row>
    <row r="71" spans="1:9" ht="13.5" x14ac:dyDescent="0.25">
      <c r="A71" s="91" t="s">
        <v>312</v>
      </c>
      <c r="B71" s="92" t="s">
        <v>271</v>
      </c>
      <c r="C71" s="91" t="s">
        <v>312</v>
      </c>
      <c r="D71" s="91" t="s">
        <v>261</v>
      </c>
      <c r="E71" s="93">
        <v>34532</v>
      </c>
      <c r="F71" s="94">
        <f t="shared" ca="1" si="3"/>
        <v>22</v>
      </c>
      <c r="G71" s="95" t="s">
        <v>276</v>
      </c>
      <c r="H71" s="96">
        <v>23380</v>
      </c>
      <c r="I71" s="97">
        <v>4</v>
      </c>
    </row>
    <row r="72" spans="1:9" ht="13.5" x14ac:dyDescent="0.25">
      <c r="A72" s="91" t="s">
        <v>312</v>
      </c>
      <c r="B72" s="92" t="s">
        <v>271</v>
      </c>
      <c r="C72" s="91" t="s">
        <v>312</v>
      </c>
      <c r="D72" s="91" t="s">
        <v>247</v>
      </c>
      <c r="E72" s="93">
        <v>34538</v>
      </c>
      <c r="F72" s="94">
        <f t="shared" ca="1" si="3"/>
        <v>22</v>
      </c>
      <c r="G72" s="95"/>
      <c r="H72" s="96">
        <v>85480</v>
      </c>
      <c r="I72" s="97">
        <v>5</v>
      </c>
    </row>
    <row r="73" spans="1:9" ht="13.5" x14ac:dyDescent="0.25">
      <c r="A73" s="91" t="s">
        <v>312</v>
      </c>
      <c r="B73" s="92" t="s">
        <v>271</v>
      </c>
      <c r="C73" s="91" t="s">
        <v>312</v>
      </c>
      <c r="D73" s="91" t="s">
        <v>247</v>
      </c>
      <c r="E73" s="93">
        <v>34538</v>
      </c>
      <c r="F73" s="94">
        <f t="shared" ca="1" si="3"/>
        <v>22</v>
      </c>
      <c r="G73" s="95"/>
      <c r="H73" s="96">
        <v>85480</v>
      </c>
      <c r="I73" s="97">
        <v>5</v>
      </c>
    </row>
    <row r="74" spans="1:9" ht="13.5" x14ac:dyDescent="0.25">
      <c r="A74" s="91" t="s">
        <v>312</v>
      </c>
      <c r="B74" s="92" t="s">
        <v>271</v>
      </c>
      <c r="C74" s="91" t="s">
        <v>312</v>
      </c>
      <c r="D74" s="91" t="s">
        <v>247</v>
      </c>
      <c r="E74" s="93">
        <v>34592</v>
      </c>
      <c r="F74" s="94">
        <f t="shared" ca="1" si="3"/>
        <v>22</v>
      </c>
      <c r="G74" s="95"/>
      <c r="H74" s="96">
        <v>63340</v>
      </c>
      <c r="I74" s="97">
        <v>3</v>
      </c>
    </row>
    <row r="75" spans="1:9" ht="13.5" x14ac:dyDescent="0.25">
      <c r="A75" s="91" t="s">
        <v>312</v>
      </c>
      <c r="B75" s="92" t="s">
        <v>266</v>
      </c>
      <c r="C75" s="91" t="s">
        <v>312</v>
      </c>
      <c r="D75" s="91" t="s">
        <v>247</v>
      </c>
      <c r="E75" s="93">
        <v>34630</v>
      </c>
      <c r="F75" s="94">
        <f t="shared" ref="F75:F102" ca="1" si="4">DATEDIF(E75,TODAY(),"Y")</f>
        <v>22</v>
      </c>
      <c r="G75" s="95"/>
      <c r="H75" s="96">
        <v>88000</v>
      </c>
      <c r="I75" s="97">
        <v>5</v>
      </c>
    </row>
    <row r="76" spans="1:9" ht="13.5" x14ac:dyDescent="0.25">
      <c r="A76" s="91" t="s">
        <v>312</v>
      </c>
      <c r="B76" s="92" t="s">
        <v>245</v>
      </c>
      <c r="C76" s="91" t="s">
        <v>312</v>
      </c>
      <c r="D76" s="91" t="s">
        <v>256</v>
      </c>
      <c r="E76" s="93">
        <v>34655</v>
      </c>
      <c r="F76" s="94">
        <f t="shared" ca="1" si="4"/>
        <v>21</v>
      </c>
      <c r="G76" s="95" t="s">
        <v>267</v>
      </c>
      <c r="H76" s="96">
        <v>34780</v>
      </c>
      <c r="I76" s="97">
        <v>4</v>
      </c>
    </row>
    <row r="77" spans="1:9" ht="13.5" x14ac:dyDescent="0.25">
      <c r="A77" s="91" t="s">
        <v>312</v>
      </c>
      <c r="B77" s="92" t="s">
        <v>280</v>
      </c>
      <c r="C77" s="91" t="s">
        <v>312</v>
      </c>
      <c r="D77" s="91" t="s">
        <v>247</v>
      </c>
      <c r="E77" s="93">
        <v>34728</v>
      </c>
      <c r="F77" s="94">
        <f t="shared" ca="1" si="4"/>
        <v>21</v>
      </c>
      <c r="G77" s="95"/>
      <c r="H77" s="96">
        <v>30340</v>
      </c>
      <c r="I77" s="97">
        <v>3</v>
      </c>
    </row>
    <row r="78" spans="1:9" ht="13.5" x14ac:dyDescent="0.25">
      <c r="A78" s="91" t="s">
        <v>312</v>
      </c>
      <c r="B78" s="92" t="s">
        <v>245</v>
      </c>
      <c r="C78" s="91" t="s">
        <v>312</v>
      </c>
      <c r="D78" s="91" t="s">
        <v>252</v>
      </c>
      <c r="E78" s="93">
        <v>34749</v>
      </c>
      <c r="F78" s="94">
        <f t="shared" ca="1" si="4"/>
        <v>21</v>
      </c>
      <c r="G78" s="95"/>
      <c r="H78" s="96">
        <v>18500</v>
      </c>
      <c r="I78" s="97">
        <v>5</v>
      </c>
    </row>
    <row r="79" spans="1:9" ht="13.5" x14ac:dyDescent="0.25">
      <c r="A79" s="91" t="s">
        <v>312</v>
      </c>
      <c r="B79" s="92" t="s">
        <v>245</v>
      </c>
      <c r="C79" s="91" t="s">
        <v>312</v>
      </c>
      <c r="D79" s="91" t="s">
        <v>247</v>
      </c>
      <c r="E79" s="93">
        <v>34777</v>
      </c>
      <c r="F79" s="94">
        <f t="shared" ca="1" si="4"/>
        <v>21</v>
      </c>
      <c r="G79" s="95"/>
      <c r="H79" s="96">
        <v>76930</v>
      </c>
      <c r="I79" s="97">
        <v>1</v>
      </c>
    </row>
    <row r="80" spans="1:9" ht="13.5" x14ac:dyDescent="0.25">
      <c r="A80" s="91" t="s">
        <v>312</v>
      </c>
      <c r="B80" s="92" t="s">
        <v>245</v>
      </c>
      <c r="C80" s="91" t="s">
        <v>312</v>
      </c>
      <c r="D80" s="91" t="s">
        <v>247</v>
      </c>
      <c r="E80" s="93">
        <v>35160</v>
      </c>
      <c r="F80" s="94">
        <f t="shared" ca="1" si="4"/>
        <v>20</v>
      </c>
      <c r="G80" s="95"/>
      <c r="H80" s="96">
        <v>23560</v>
      </c>
      <c r="I80" s="97">
        <v>3</v>
      </c>
    </row>
    <row r="81" spans="1:9" ht="13.5" x14ac:dyDescent="0.25">
      <c r="A81" s="91" t="s">
        <v>312</v>
      </c>
      <c r="B81" s="92" t="s">
        <v>245</v>
      </c>
      <c r="C81" s="91" t="s">
        <v>312</v>
      </c>
      <c r="D81" s="91" t="s">
        <v>252</v>
      </c>
      <c r="E81" s="93">
        <v>35177</v>
      </c>
      <c r="F81" s="94">
        <f t="shared" ca="1" si="4"/>
        <v>20</v>
      </c>
      <c r="G81" s="95"/>
      <c r="H81" s="96">
        <v>33056</v>
      </c>
      <c r="I81" s="97">
        <v>5</v>
      </c>
    </row>
    <row r="82" spans="1:9" ht="13.5" x14ac:dyDescent="0.25">
      <c r="A82" s="91" t="s">
        <v>312</v>
      </c>
      <c r="B82" s="92" t="s">
        <v>285</v>
      </c>
      <c r="C82" s="91" t="s">
        <v>312</v>
      </c>
      <c r="D82" s="91" t="s">
        <v>256</v>
      </c>
      <c r="E82" s="93">
        <v>35196</v>
      </c>
      <c r="F82" s="94">
        <f t="shared" ca="1" si="4"/>
        <v>20</v>
      </c>
      <c r="G82" s="95" t="s">
        <v>283</v>
      </c>
      <c r="H82" s="96">
        <v>32100</v>
      </c>
      <c r="I82" s="97">
        <v>1</v>
      </c>
    </row>
    <row r="83" spans="1:9" ht="13.5" x14ac:dyDescent="0.25">
      <c r="A83" s="91" t="s">
        <v>312</v>
      </c>
      <c r="B83" s="92" t="s">
        <v>285</v>
      </c>
      <c r="C83" s="91" t="s">
        <v>312</v>
      </c>
      <c r="D83" s="91" t="s">
        <v>252</v>
      </c>
      <c r="E83" s="93">
        <v>35292</v>
      </c>
      <c r="F83" s="94">
        <f t="shared" ca="1" si="4"/>
        <v>20</v>
      </c>
      <c r="G83" s="95"/>
      <c r="H83" s="96">
        <v>30080</v>
      </c>
      <c r="I83" s="97">
        <v>3</v>
      </c>
    </row>
    <row r="84" spans="1:9" ht="13.5" x14ac:dyDescent="0.25">
      <c r="A84" s="91" t="s">
        <v>312</v>
      </c>
      <c r="B84" s="92" t="s">
        <v>266</v>
      </c>
      <c r="C84" s="91" t="s">
        <v>312</v>
      </c>
      <c r="D84" s="91" t="s">
        <v>261</v>
      </c>
      <c r="E84" s="93">
        <v>35586</v>
      </c>
      <c r="F84" s="94">
        <f t="shared" ca="1" si="4"/>
        <v>19</v>
      </c>
      <c r="G84" s="95" t="s">
        <v>257</v>
      </c>
      <c r="H84" s="96">
        <v>35280</v>
      </c>
      <c r="I84" s="97">
        <v>3</v>
      </c>
    </row>
    <row r="85" spans="1:9" ht="13.5" x14ac:dyDescent="0.25">
      <c r="A85" s="91" t="s">
        <v>312</v>
      </c>
      <c r="B85" s="92" t="s">
        <v>285</v>
      </c>
      <c r="C85" s="91" t="s">
        <v>312</v>
      </c>
      <c r="D85" s="91" t="s">
        <v>256</v>
      </c>
      <c r="E85" s="93">
        <v>35698</v>
      </c>
      <c r="F85" s="94">
        <f t="shared" ca="1" si="4"/>
        <v>19</v>
      </c>
      <c r="G85" s="95" t="s">
        <v>257</v>
      </c>
      <c r="H85" s="96">
        <v>27180</v>
      </c>
      <c r="I85" s="97">
        <v>4</v>
      </c>
    </row>
    <row r="86" spans="1:9" ht="13.5" x14ac:dyDescent="0.25">
      <c r="A86" s="91" t="s">
        <v>312</v>
      </c>
      <c r="B86" s="92" t="s">
        <v>285</v>
      </c>
      <c r="C86" s="91" t="s">
        <v>312</v>
      </c>
      <c r="D86" s="91" t="s">
        <v>256</v>
      </c>
      <c r="E86" s="93">
        <v>35708</v>
      </c>
      <c r="F86" s="94">
        <f t="shared" ca="1" si="4"/>
        <v>19</v>
      </c>
      <c r="G86" s="95" t="s">
        <v>283</v>
      </c>
      <c r="H86" s="96">
        <v>28650</v>
      </c>
      <c r="I86" s="97">
        <v>4</v>
      </c>
    </row>
    <row r="87" spans="1:9" ht="13.5" x14ac:dyDescent="0.25">
      <c r="A87" s="91" t="s">
        <v>312</v>
      </c>
      <c r="B87" s="92" t="s">
        <v>271</v>
      </c>
      <c r="C87" s="91" t="s">
        <v>312</v>
      </c>
      <c r="D87" s="91" t="s">
        <v>256</v>
      </c>
      <c r="E87" s="93">
        <v>35866</v>
      </c>
      <c r="F87" s="94">
        <f t="shared" ca="1" si="4"/>
        <v>18</v>
      </c>
      <c r="G87" s="95" t="s">
        <v>267</v>
      </c>
      <c r="H87" s="96">
        <v>62790</v>
      </c>
      <c r="I87" s="97">
        <v>2</v>
      </c>
    </row>
    <row r="88" spans="1:9" ht="13.5" x14ac:dyDescent="0.25">
      <c r="A88" s="91" t="s">
        <v>312</v>
      </c>
      <c r="B88" s="92" t="s">
        <v>271</v>
      </c>
      <c r="C88" s="91" t="s">
        <v>312</v>
      </c>
      <c r="D88" s="91" t="s">
        <v>256</v>
      </c>
      <c r="E88" s="93">
        <v>35931</v>
      </c>
      <c r="F88" s="94">
        <f t="shared" ca="1" si="4"/>
        <v>18</v>
      </c>
      <c r="G88" s="95" t="s">
        <v>257</v>
      </c>
      <c r="H88" s="96">
        <v>71950</v>
      </c>
      <c r="I88" s="97">
        <v>5</v>
      </c>
    </row>
    <row r="89" spans="1:9" ht="13.5" x14ac:dyDescent="0.25">
      <c r="A89" s="91" t="s">
        <v>312</v>
      </c>
      <c r="B89" s="92" t="s">
        <v>285</v>
      </c>
      <c r="C89" s="91" t="s">
        <v>312</v>
      </c>
      <c r="D89" s="91" t="s">
        <v>256</v>
      </c>
      <c r="E89" s="93">
        <v>36038</v>
      </c>
      <c r="F89" s="94">
        <f t="shared" ca="1" si="4"/>
        <v>18</v>
      </c>
      <c r="G89" s="95" t="s">
        <v>262</v>
      </c>
      <c r="H89" s="96">
        <v>85880</v>
      </c>
      <c r="I89" s="97">
        <v>3</v>
      </c>
    </row>
    <row r="90" spans="1:9" ht="13.5" x14ac:dyDescent="0.25">
      <c r="A90" s="91" t="s">
        <v>312</v>
      </c>
      <c r="B90" s="92" t="s">
        <v>285</v>
      </c>
      <c r="C90" s="91" t="s">
        <v>312</v>
      </c>
      <c r="D90" s="91" t="s">
        <v>256</v>
      </c>
      <c r="E90" s="93">
        <v>36475</v>
      </c>
      <c r="F90" s="94">
        <f t="shared" ca="1" si="4"/>
        <v>17</v>
      </c>
      <c r="G90" s="95" t="s">
        <v>283</v>
      </c>
      <c r="H90" s="96">
        <v>87280</v>
      </c>
      <c r="I90" s="97">
        <v>4</v>
      </c>
    </row>
    <row r="91" spans="1:9" ht="13.5" x14ac:dyDescent="0.25">
      <c r="A91" s="91" t="s">
        <v>312</v>
      </c>
      <c r="B91" s="92" t="s">
        <v>245</v>
      </c>
      <c r="C91" s="91" t="s">
        <v>312</v>
      </c>
      <c r="D91" s="91" t="s">
        <v>256</v>
      </c>
      <c r="E91" s="93">
        <v>36650</v>
      </c>
      <c r="F91" s="94">
        <f t="shared" ca="1" si="4"/>
        <v>16</v>
      </c>
      <c r="G91" s="95" t="s">
        <v>257</v>
      </c>
      <c r="H91" s="96">
        <v>66890</v>
      </c>
      <c r="I91" s="97">
        <v>5</v>
      </c>
    </row>
    <row r="92" spans="1:9" ht="13.5" x14ac:dyDescent="0.25">
      <c r="A92" s="91" t="s">
        <v>312</v>
      </c>
      <c r="B92" s="92" t="s">
        <v>245</v>
      </c>
      <c r="C92" s="91" t="s">
        <v>312</v>
      </c>
      <c r="D92" s="91" t="s">
        <v>247</v>
      </c>
      <c r="E92" s="93">
        <v>37660</v>
      </c>
      <c r="F92" s="94">
        <f t="shared" ca="1" si="4"/>
        <v>13</v>
      </c>
      <c r="G92" s="95"/>
      <c r="H92" s="96">
        <v>83070</v>
      </c>
      <c r="I92" s="97">
        <v>3</v>
      </c>
    </row>
    <row r="93" spans="1:9" ht="13.5" x14ac:dyDescent="0.25">
      <c r="A93" s="91" t="s">
        <v>312</v>
      </c>
      <c r="B93" s="92" t="s">
        <v>245</v>
      </c>
      <c r="C93" s="91" t="s">
        <v>312</v>
      </c>
      <c r="D93" s="91" t="s">
        <v>247</v>
      </c>
      <c r="E93" s="93">
        <v>37730</v>
      </c>
      <c r="F93" s="94">
        <f t="shared" ca="1" si="4"/>
        <v>13</v>
      </c>
      <c r="G93" s="95"/>
      <c r="H93" s="96">
        <v>62150</v>
      </c>
      <c r="I93" s="97">
        <v>4</v>
      </c>
    </row>
    <row r="94" spans="1:9" ht="13.5" x14ac:dyDescent="0.25">
      <c r="A94" s="91" t="s">
        <v>312</v>
      </c>
      <c r="B94" s="92" t="s">
        <v>266</v>
      </c>
      <c r="C94" s="91" t="s">
        <v>312</v>
      </c>
      <c r="D94" s="91" t="s">
        <v>261</v>
      </c>
      <c r="E94" s="93">
        <v>38492</v>
      </c>
      <c r="F94" s="94">
        <f t="shared" ca="1" si="4"/>
        <v>11</v>
      </c>
      <c r="G94" s="95" t="s">
        <v>276</v>
      </c>
      <c r="H94" s="96">
        <v>22535</v>
      </c>
      <c r="I94" s="97">
        <v>3</v>
      </c>
    </row>
    <row r="95" spans="1:9" ht="13.5" x14ac:dyDescent="0.25">
      <c r="A95" s="91" t="s">
        <v>312</v>
      </c>
      <c r="B95" s="92" t="s">
        <v>280</v>
      </c>
      <c r="C95" s="91" t="s">
        <v>312</v>
      </c>
      <c r="D95" s="91" t="s">
        <v>247</v>
      </c>
      <c r="E95" s="93">
        <v>38612</v>
      </c>
      <c r="F95" s="94">
        <f t="shared" ca="1" si="4"/>
        <v>11</v>
      </c>
      <c r="G95" s="95"/>
      <c r="H95" s="96">
        <v>25790</v>
      </c>
      <c r="I95" s="97">
        <v>3</v>
      </c>
    </row>
    <row r="96" spans="1:9" ht="13.5" x14ac:dyDescent="0.25">
      <c r="A96" s="91" t="s">
        <v>312</v>
      </c>
      <c r="B96" s="92" t="s">
        <v>285</v>
      </c>
      <c r="C96" s="91" t="s">
        <v>312</v>
      </c>
      <c r="D96" s="91" t="s">
        <v>247</v>
      </c>
      <c r="E96" s="93">
        <v>38649</v>
      </c>
      <c r="F96" s="94">
        <f t="shared" ca="1" si="4"/>
        <v>11</v>
      </c>
      <c r="G96" s="95"/>
      <c r="H96" s="96">
        <v>79460</v>
      </c>
      <c r="I96" s="97">
        <v>5</v>
      </c>
    </row>
    <row r="97" spans="1:9" ht="13.5" x14ac:dyDescent="0.25">
      <c r="A97" s="91" t="s">
        <v>312</v>
      </c>
      <c r="B97" s="92" t="s">
        <v>271</v>
      </c>
      <c r="C97" s="91" t="s">
        <v>312</v>
      </c>
      <c r="D97" s="91" t="s">
        <v>256</v>
      </c>
      <c r="E97" s="93">
        <v>38775</v>
      </c>
      <c r="F97" s="94">
        <f t="shared" ca="1" si="4"/>
        <v>10</v>
      </c>
      <c r="G97" s="95" t="s">
        <v>257</v>
      </c>
      <c r="H97" s="96">
        <v>41490</v>
      </c>
      <c r="I97" s="97">
        <v>5</v>
      </c>
    </row>
    <row r="98" spans="1:9" ht="13.5" x14ac:dyDescent="0.25">
      <c r="A98" s="91" t="s">
        <v>312</v>
      </c>
      <c r="B98" s="92" t="s">
        <v>271</v>
      </c>
      <c r="C98" s="91" t="s">
        <v>312</v>
      </c>
      <c r="D98" s="91" t="s">
        <v>256</v>
      </c>
      <c r="E98" s="93">
        <v>38964</v>
      </c>
      <c r="F98" s="94">
        <f t="shared" ca="1" si="4"/>
        <v>10</v>
      </c>
      <c r="G98" s="95" t="s">
        <v>262</v>
      </c>
      <c r="H98" s="96">
        <v>38730</v>
      </c>
      <c r="I98" s="97">
        <v>1</v>
      </c>
    </row>
    <row r="99" spans="1:9" ht="13.5" x14ac:dyDescent="0.25">
      <c r="A99" s="91" t="s">
        <v>312</v>
      </c>
      <c r="B99" s="92" t="s">
        <v>245</v>
      </c>
      <c r="C99" s="91" t="s">
        <v>312</v>
      </c>
      <c r="D99" s="91" t="s">
        <v>256</v>
      </c>
      <c r="E99" s="99">
        <v>38982</v>
      </c>
      <c r="F99" s="94">
        <f t="shared" ca="1" si="4"/>
        <v>10</v>
      </c>
      <c r="G99" s="95" t="s">
        <v>257</v>
      </c>
      <c r="H99" s="96">
        <v>23280</v>
      </c>
      <c r="I99" s="97">
        <v>1</v>
      </c>
    </row>
    <row r="100" spans="1:9" ht="13.5" x14ac:dyDescent="0.25">
      <c r="A100" s="91" t="s">
        <v>312</v>
      </c>
      <c r="B100" s="92" t="s">
        <v>271</v>
      </c>
      <c r="C100" s="91" t="s">
        <v>312</v>
      </c>
      <c r="D100" s="91" t="s">
        <v>256</v>
      </c>
      <c r="E100" s="93">
        <v>39191</v>
      </c>
      <c r="F100" s="94">
        <f t="shared" ca="1" si="4"/>
        <v>9</v>
      </c>
      <c r="G100" s="95" t="s">
        <v>267</v>
      </c>
      <c r="H100" s="96">
        <v>77820</v>
      </c>
      <c r="I100" s="97">
        <v>3</v>
      </c>
    </row>
    <row r="101" spans="1:9" ht="13.5" x14ac:dyDescent="0.25">
      <c r="A101" s="91" t="s">
        <v>312</v>
      </c>
      <c r="B101" s="92" t="s">
        <v>251</v>
      </c>
      <c r="C101" s="91" t="s">
        <v>312</v>
      </c>
      <c r="D101" s="91" t="s">
        <v>256</v>
      </c>
      <c r="E101" s="93">
        <v>39265</v>
      </c>
      <c r="F101" s="94">
        <f t="shared" ca="1" si="4"/>
        <v>9</v>
      </c>
      <c r="G101" s="95" t="s">
        <v>276</v>
      </c>
      <c r="H101" s="96">
        <v>74710</v>
      </c>
      <c r="I101" s="97">
        <v>2</v>
      </c>
    </row>
    <row r="102" spans="1:9" ht="13.5" x14ac:dyDescent="0.25">
      <c r="A102" s="91" t="s">
        <v>312</v>
      </c>
      <c r="B102" s="92" t="s">
        <v>285</v>
      </c>
      <c r="C102" s="91" t="s">
        <v>312</v>
      </c>
      <c r="D102" s="91" t="s">
        <v>256</v>
      </c>
      <c r="E102" s="93">
        <v>39286</v>
      </c>
      <c r="F102" s="94">
        <f t="shared" ca="1" si="4"/>
        <v>9</v>
      </c>
      <c r="G102" s="95" t="s">
        <v>267</v>
      </c>
      <c r="H102" s="96">
        <v>68910</v>
      </c>
      <c r="I102" s="97">
        <v>5</v>
      </c>
    </row>
    <row r="103" spans="1:9" ht="13.5" x14ac:dyDescent="0.25">
      <c r="A103" s="98"/>
      <c r="B103" s="92"/>
      <c r="C103" s="98"/>
      <c r="D103" s="91"/>
      <c r="E103" s="93"/>
      <c r="F103" s="94"/>
      <c r="G103" s="95"/>
      <c r="H103" s="96"/>
      <c r="I103" s="97"/>
    </row>
    <row r="104" spans="1:9" ht="13.5" x14ac:dyDescent="0.25">
      <c r="A104" s="91" t="s">
        <v>372</v>
      </c>
      <c r="B104" s="92" t="s">
        <v>285</v>
      </c>
      <c r="C104" s="91" t="s">
        <v>372</v>
      </c>
      <c r="D104" s="91" t="s">
        <v>256</v>
      </c>
      <c r="E104" s="93">
        <v>36573</v>
      </c>
      <c r="F104" s="94">
        <f t="shared" ref="F104:F111" ca="1" si="5">DATEDIF(E104,TODAY(),"Y")</f>
        <v>16</v>
      </c>
      <c r="G104" s="95" t="s">
        <v>257</v>
      </c>
      <c r="H104" s="96">
        <v>86530</v>
      </c>
      <c r="I104" s="97">
        <v>1</v>
      </c>
    </row>
    <row r="105" spans="1:9" ht="13.5" x14ac:dyDescent="0.25">
      <c r="A105" s="91" t="s">
        <v>372</v>
      </c>
      <c r="B105" s="92" t="s">
        <v>271</v>
      </c>
      <c r="C105" s="91" t="s">
        <v>372</v>
      </c>
      <c r="D105" s="91" t="s">
        <v>256</v>
      </c>
      <c r="E105" s="93">
        <v>37087</v>
      </c>
      <c r="F105" s="94">
        <f t="shared" ca="1" si="5"/>
        <v>15</v>
      </c>
      <c r="G105" s="95" t="s">
        <v>257</v>
      </c>
      <c r="H105" s="96">
        <v>36630</v>
      </c>
      <c r="I105" s="97">
        <v>4</v>
      </c>
    </row>
    <row r="106" spans="1:9" ht="13.5" x14ac:dyDescent="0.25">
      <c r="A106" s="91" t="s">
        <v>372</v>
      </c>
      <c r="B106" s="92" t="s">
        <v>285</v>
      </c>
      <c r="C106" s="91" t="s">
        <v>372</v>
      </c>
      <c r="D106" s="91" t="s">
        <v>247</v>
      </c>
      <c r="E106" s="93">
        <v>37445</v>
      </c>
      <c r="F106" s="94">
        <f t="shared" ca="1" si="5"/>
        <v>14</v>
      </c>
      <c r="G106" s="95"/>
      <c r="H106" s="96">
        <v>78860</v>
      </c>
      <c r="I106" s="97">
        <v>2</v>
      </c>
    </row>
    <row r="107" spans="1:9" ht="13.5" x14ac:dyDescent="0.25">
      <c r="A107" s="91" t="s">
        <v>372</v>
      </c>
      <c r="B107" s="92" t="s">
        <v>280</v>
      </c>
      <c r="C107" s="91" t="s">
        <v>372</v>
      </c>
      <c r="D107" s="91" t="s">
        <v>256</v>
      </c>
      <c r="E107" s="93">
        <v>38078</v>
      </c>
      <c r="F107" s="94">
        <f t="shared" ca="1" si="5"/>
        <v>12</v>
      </c>
      <c r="G107" s="95" t="s">
        <v>257</v>
      </c>
      <c r="H107" s="96">
        <v>71120</v>
      </c>
      <c r="I107" s="97">
        <v>4</v>
      </c>
    </row>
    <row r="108" spans="1:9" ht="13.5" x14ac:dyDescent="0.25">
      <c r="A108" s="91" t="s">
        <v>372</v>
      </c>
      <c r="B108" s="92" t="s">
        <v>271</v>
      </c>
      <c r="C108" s="91" t="s">
        <v>372</v>
      </c>
      <c r="D108" s="91" t="s">
        <v>247</v>
      </c>
      <c r="E108" s="93">
        <v>38219</v>
      </c>
      <c r="F108" s="94">
        <f t="shared" ca="1" si="5"/>
        <v>12</v>
      </c>
      <c r="G108" s="95"/>
      <c r="H108" s="96">
        <v>35620</v>
      </c>
      <c r="I108" s="97">
        <v>4</v>
      </c>
    </row>
    <row r="109" spans="1:9" ht="13.5" x14ac:dyDescent="0.25">
      <c r="A109" s="91" t="s">
        <v>372</v>
      </c>
      <c r="B109" s="92" t="s">
        <v>285</v>
      </c>
      <c r="C109" s="91" t="s">
        <v>372</v>
      </c>
      <c r="D109" s="91" t="s">
        <v>256</v>
      </c>
      <c r="E109" s="93">
        <v>38613</v>
      </c>
      <c r="F109" s="94">
        <f t="shared" ca="1" si="5"/>
        <v>11</v>
      </c>
      <c r="G109" s="95" t="s">
        <v>257</v>
      </c>
      <c r="H109" s="96">
        <v>76440</v>
      </c>
      <c r="I109" s="97">
        <v>3</v>
      </c>
    </row>
    <row r="110" spans="1:9" ht="13.5" x14ac:dyDescent="0.25">
      <c r="A110" s="91" t="s">
        <v>372</v>
      </c>
      <c r="B110" s="92" t="s">
        <v>285</v>
      </c>
      <c r="C110" s="91" t="s">
        <v>372</v>
      </c>
      <c r="D110" s="91" t="s">
        <v>247</v>
      </c>
      <c r="E110" s="99">
        <v>38943</v>
      </c>
      <c r="F110" s="94">
        <f t="shared" ca="1" si="5"/>
        <v>10</v>
      </c>
      <c r="G110" s="95"/>
      <c r="H110" s="96">
        <v>59350</v>
      </c>
      <c r="I110" s="97">
        <v>5</v>
      </c>
    </row>
    <row r="111" spans="1:9" ht="13.5" x14ac:dyDescent="0.25">
      <c r="A111" s="91" t="s">
        <v>372</v>
      </c>
      <c r="B111" s="92" t="s">
        <v>251</v>
      </c>
      <c r="C111" s="91" t="s">
        <v>372</v>
      </c>
      <c r="D111" s="91" t="s">
        <v>261</v>
      </c>
      <c r="E111" s="99">
        <v>39195</v>
      </c>
      <c r="F111" s="94">
        <f t="shared" ca="1" si="5"/>
        <v>9</v>
      </c>
      <c r="G111" s="95" t="s">
        <v>283</v>
      </c>
      <c r="H111" s="96">
        <v>46230</v>
      </c>
      <c r="I111" s="97">
        <v>2</v>
      </c>
    </row>
    <row r="112" spans="1:9" ht="13.5" x14ac:dyDescent="0.25">
      <c r="A112" s="98"/>
      <c r="B112" s="92"/>
      <c r="C112" s="98"/>
      <c r="D112" s="91"/>
      <c r="E112" s="99"/>
      <c r="F112" s="94"/>
      <c r="G112" s="95"/>
      <c r="H112" s="96"/>
      <c r="I112" s="97"/>
    </row>
    <row r="113" spans="1:9" ht="13.5" x14ac:dyDescent="0.25">
      <c r="A113" s="91" t="s">
        <v>381</v>
      </c>
      <c r="B113" s="92" t="s">
        <v>285</v>
      </c>
      <c r="C113" s="91" t="s">
        <v>381</v>
      </c>
      <c r="D113" s="91" t="s">
        <v>256</v>
      </c>
      <c r="E113" s="93">
        <v>31761</v>
      </c>
      <c r="F113" s="94">
        <f t="shared" ref="F113:F121" ca="1" si="6">DATEDIF(E113,TODAY(),"Y")</f>
        <v>29</v>
      </c>
      <c r="G113" s="95" t="s">
        <v>283</v>
      </c>
      <c r="H113" s="96">
        <v>69060</v>
      </c>
      <c r="I113" s="97">
        <v>1</v>
      </c>
    </row>
    <row r="114" spans="1:9" ht="13.5" x14ac:dyDescent="0.25">
      <c r="A114" s="91" t="s">
        <v>381</v>
      </c>
      <c r="B114" s="92" t="s">
        <v>271</v>
      </c>
      <c r="C114" s="91" t="s">
        <v>381</v>
      </c>
      <c r="D114" s="91" t="s">
        <v>256</v>
      </c>
      <c r="E114" s="93">
        <v>34139</v>
      </c>
      <c r="F114" s="94">
        <f t="shared" ca="1" si="6"/>
        <v>23</v>
      </c>
      <c r="G114" s="95" t="s">
        <v>283</v>
      </c>
      <c r="H114" s="96">
        <v>22920</v>
      </c>
      <c r="I114" s="97">
        <v>3</v>
      </c>
    </row>
    <row r="115" spans="1:9" ht="13.5" x14ac:dyDescent="0.25">
      <c r="A115" s="91" t="s">
        <v>381</v>
      </c>
      <c r="B115" s="92" t="s">
        <v>266</v>
      </c>
      <c r="C115" s="91" t="s">
        <v>381</v>
      </c>
      <c r="D115" s="91" t="s">
        <v>256</v>
      </c>
      <c r="E115" s="93">
        <v>34204</v>
      </c>
      <c r="F115" s="94">
        <f t="shared" ca="1" si="6"/>
        <v>23</v>
      </c>
      <c r="G115" s="95" t="s">
        <v>267</v>
      </c>
      <c r="H115" s="96">
        <v>26510</v>
      </c>
      <c r="I115" s="97">
        <v>1</v>
      </c>
    </row>
    <row r="116" spans="1:9" ht="13.5" x14ac:dyDescent="0.25">
      <c r="A116" s="91" t="s">
        <v>381</v>
      </c>
      <c r="B116" s="92" t="s">
        <v>280</v>
      </c>
      <c r="C116" s="91" t="s">
        <v>381</v>
      </c>
      <c r="D116" s="91" t="s">
        <v>256</v>
      </c>
      <c r="E116" s="93">
        <v>34872</v>
      </c>
      <c r="F116" s="94">
        <f t="shared" ca="1" si="6"/>
        <v>21</v>
      </c>
      <c r="G116" s="95" t="s">
        <v>283</v>
      </c>
      <c r="H116" s="96">
        <v>68300</v>
      </c>
      <c r="I116" s="97">
        <v>5</v>
      </c>
    </row>
    <row r="117" spans="1:9" ht="13.5" x14ac:dyDescent="0.25">
      <c r="A117" s="91" t="s">
        <v>381</v>
      </c>
      <c r="B117" s="92" t="s">
        <v>271</v>
      </c>
      <c r="C117" s="91" t="s">
        <v>381</v>
      </c>
      <c r="D117" s="91" t="s">
        <v>256</v>
      </c>
      <c r="E117" s="93">
        <v>34939</v>
      </c>
      <c r="F117" s="94">
        <f t="shared" ca="1" si="6"/>
        <v>21</v>
      </c>
      <c r="G117" s="95" t="s">
        <v>257</v>
      </c>
      <c r="H117" s="96">
        <v>49860</v>
      </c>
      <c r="I117" s="97">
        <v>2</v>
      </c>
    </row>
    <row r="118" spans="1:9" ht="13.5" x14ac:dyDescent="0.25">
      <c r="A118" s="91" t="s">
        <v>381</v>
      </c>
      <c r="B118" s="92" t="s">
        <v>285</v>
      </c>
      <c r="C118" s="91" t="s">
        <v>381</v>
      </c>
      <c r="D118" s="91" t="s">
        <v>256</v>
      </c>
      <c r="E118" s="93">
        <v>37837</v>
      </c>
      <c r="F118" s="94">
        <f t="shared" ca="1" si="6"/>
        <v>13</v>
      </c>
      <c r="G118" s="95" t="s">
        <v>283</v>
      </c>
      <c r="H118" s="96">
        <v>43680</v>
      </c>
      <c r="I118" s="97">
        <v>5</v>
      </c>
    </row>
    <row r="119" spans="1:9" ht="13.5" x14ac:dyDescent="0.25">
      <c r="A119" s="91" t="s">
        <v>381</v>
      </c>
      <c r="B119" s="92" t="s">
        <v>271</v>
      </c>
      <c r="C119" s="91" t="s">
        <v>381</v>
      </c>
      <c r="D119" s="91" t="s">
        <v>252</v>
      </c>
      <c r="E119" s="99">
        <v>39003</v>
      </c>
      <c r="F119" s="94">
        <f t="shared" ca="1" si="6"/>
        <v>10</v>
      </c>
      <c r="G119" s="95"/>
      <c r="H119" s="96">
        <v>27484</v>
      </c>
      <c r="I119" s="97">
        <v>4</v>
      </c>
    </row>
    <row r="120" spans="1:9" ht="13.5" x14ac:dyDescent="0.25">
      <c r="A120" s="91" t="s">
        <v>381</v>
      </c>
      <c r="B120" s="92" t="s">
        <v>271</v>
      </c>
      <c r="C120" s="91" t="s">
        <v>381</v>
      </c>
      <c r="D120" s="91" t="s">
        <v>261</v>
      </c>
      <c r="E120" s="99">
        <v>39206</v>
      </c>
      <c r="F120" s="94">
        <f t="shared" ca="1" si="6"/>
        <v>9</v>
      </c>
      <c r="G120" s="95" t="s">
        <v>283</v>
      </c>
      <c r="H120" s="96">
        <v>28625</v>
      </c>
      <c r="I120" s="97">
        <v>1</v>
      </c>
    </row>
    <row r="121" spans="1:9" ht="13.5" x14ac:dyDescent="0.25">
      <c r="A121" s="91" t="s">
        <v>381</v>
      </c>
      <c r="B121" s="92" t="s">
        <v>285</v>
      </c>
      <c r="C121" s="91" t="s">
        <v>381</v>
      </c>
      <c r="D121" s="91" t="s">
        <v>261</v>
      </c>
      <c r="E121" s="93">
        <v>39262</v>
      </c>
      <c r="F121" s="94">
        <f t="shared" ca="1" si="6"/>
        <v>9</v>
      </c>
      <c r="G121" s="95" t="s">
        <v>283</v>
      </c>
      <c r="H121" s="96">
        <v>10520</v>
      </c>
      <c r="I121" s="97">
        <v>4</v>
      </c>
    </row>
    <row r="122" spans="1:9" ht="13.5" x14ac:dyDescent="0.25">
      <c r="A122" s="98"/>
      <c r="B122" s="92"/>
      <c r="C122" s="98"/>
      <c r="D122" s="91"/>
      <c r="E122" s="93"/>
      <c r="F122" s="94"/>
      <c r="G122" s="95"/>
      <c r="H122" s="96"/>
      <c r="I122" s="97"/>
    </row>
    <row r="123" spans="1:9" ht="13.5" x14ac:dyDescent="0.25">
      <c r="A123" s="91" t="s">
        <v>391</v>
      </c>
      <c r="B123" s="92" t="s">
        <v>285</v>
      </c>
      <c r="C123" s="91" t="s">
        <v>391</v>
      </c>
      <c r="D123" s="91" t="s">
        <v>252</v>
      </c>
      <c r="E123" s="93">
        <v>31873</v>
      </c>
      <c r="F123" s="94">
        <f t="shared" ref="F123:F141" ca="1" si="7">DATEDIF(E123,TODAY(),"Y")</f>
        <v>29</v>
      </c>
      <c r="G123" s="95"/>
      <c r="H123" s="96">
        <v>14712</v>
      </c>
      <c r="I123" s="97">
        <v>5</v>
      </c>
    </row>
    <row r="124" spans="1:9" ht="13.5" x14ac:dyDescent="0.25">
      <c r="A124" s="91" t="s">
        <v>391</v>
      </c>
      <c r="B124" s="92" t="s">
        <v>251</v>
      </c>
      <c r="C124" s="91" t="s">
        <v>391</v>
      </c>
      <c r="D124" s="91" t="s">
        <v>247</v>
      </c>
      <c r="E124" s="93">
        <v>31935</v>
      </c>
      <c r="F124" s="94">
        <f t="shared" ca="1" si="7"/>
        <v>29</v>
      </c>
      <c r="G124" s="95"/>
      <c r="H124" s="96">
        <v>80050</v>
      </c>
      <c r="I124" s="97">
        <v>2</v>
      </c>
    </row>
    <row r="125" spans="1:9" ht="13.5" x14ac:dyDescent="0.25">
      <c r="A125" s="91" t="s">
        <v>391</v>
      </c>
      <c r="B125" s="92" t="s">
        <v>245</v>
      </c>
      <c r="C125" s="91" t="s">
        <v>391</v>
      </c>
      <c r="D125" s="91" t="s">
        <v>256</v>
      </c>
      <c r="E125" s="93">
        <v>32137</v>
      </c>
      <c r="F125" s="94">
        <f t="shared" ca="1" si="7"/>
        <v>28</v>
      </c>
      <c r="G125" s="95" t="s">
        <v>283</v>
      </c>
      <c r="H125" s="96">
        <v>37620</v>
      </c>
      <c r="I125" s="97">
        <v>5</v>
      </c>
    </row>
    <row r="126" spans="1:9" ht="13.5" x14ac:dyDescent="0.25">
      <c r="A126" s="91" t="s">
        <v>391</v>
      </c>
      <c r="B126" s="92" t="s">
        <v>271</v>
      </c>
      <c r="C126" s="91" t="s">
        <v>391</v>
      </c>
      <c r="D126" s="91" t="s">
        <v>256</v>
      </c>
      <c r="E126" s="93">
        <v>32303</v>
      </c>
      <c r="F126" s="94">
        <f t="shared" ca="1" si="7"/>
        <v>28</v>
      </c>
      <c r="G126" s="95" t="s">
        <v>267</v>
      </c>
      <c r="H126" s="96">
        <v>82500</v>
      </c>
      <c r="I126" s="97">
        <v>5</v>
      </c>
    </row>
    <row r="127" spans="1:9" ht="13.5" x14ac:dyDescent="0.25">
      <c r="A127" s="91" t="s">
        <v>391</v>
      </c>
      <c r="B127" s="92" t="s">
        <v>285</v>
      </c>
      <c r="C127" s="91" t="s">
        <v>391</v>
      </c>
      <c r="D127" s="91" t="s">
        <v>256</v>
      </c>
      <c r="E127" s="93">
        <v>32513</v>
      </c>
      <c r="F127" s="94">
        <f t="shared" ca="1" si="7"/>
        <v>27</v>
      </c>
      <c r="G127" s="95" t="s">
        <v>283</v>
      </c>
      <c r="H127" s="96">
        <v>82760</v>
      </c>
      <c r="I127" s="97">
        <v>4</v>
      </c>
    </row>
    <row r="128" spans="1:9" ht="13.5" x14ac:dyDescent="0.25">
      <c r="A128" s="91" t="s">
        <v>391</v>
      </c>
      <c r="B128" s="92" t="s">
        <v>285</v>
      </c>
      <c r="C128" s="91" t="s">
        <v>391</v>
      </c>
      <c r="D128" s="91" t="s">
        <v>261</v>
      </c>
      <c r="E128" s="93">
        <v>32684</v>
      </c>
      <c r="F128" s="94">
        <f t="shared" ca="1" si="7"/>
        <v>27</v>
      </c>
      <c r="G128" s="95" t="s">
        <v>276</v>
      </c>
      <c r="H128" s="96">
        <v>18655</v>
      </c>
      <c r="I128" s="97">
        <v>4</v>
      </c>
    </row>
    <row r="129" spans="1:9" ht="13.5" x14ac:dyDescent="0.25">
      <c r="A129" s="91" t="s">
        <v>391</v>
      </c>
      <c r="B129" s="92" t="s">
        <v>245</v>
      </c>
      <c r="C129" s="91" t="s">
        <v>391</v>
      </c>
      <c r="D129" s="91" t="s">
        <v>247</v>
      </c>
      <c r="E129" s="93">
        <v>33840</v>
      </c>
      <c r="F129" s="94">
        <f t="shared" ca="1" si="7"/>
        <v>24</v>
      </c>
      <c r="G129" s="95"/>
      <c r="H129" s="96">
        <v>35260</v>
      </c>
      <c r="I129" s="97">
        <v>2</v>
      </c>
    </row>
    <row r="130" spans="1:9" ht="13.5" x14ac:dyDescent="0.25">
      <c r="A130" s="91" t="s">
        <v>391</v>
      </c>
      <c r="B130" s="92" t="s">
        <v>266</v>
      </c>
      <c r="C130" s="91" t="s">
        <v>391</v>
      </c>
      <c r="D130" s="91" t="s">
        <v>256</v>
      </c>
      <c r="E130" s="93">
        <v>34177</v>
      </c>
      <c r="F130" s="94">
        <f t="shared" ca="1" si="7"/>
        <v>23</v>
      </c>
      <c r="G130" s="95" t="s">
        <v>257</v>
      </c>
      <c r="H130" s="96">
        <v>80120</v>
      </c>
      <c r="I130" s="97">
        <v>4</v>
      </c>
    </row>
    <row r="131" spans="1:9" ht="13.5" x14ac:dyDescent="0.25">
      <c r="A131" s="91" t="s">
        <v>391</v>
      </c>
      <c r="B131" s="92" t="s">
        <v>285</v>
      </c>
      <c r="C131" s="91" t="s">
        <v>391</v>
      </c>
      <c r="D131" s="91" t="s">
        <v>252</v>
      </c>
      <c r="E131" s="93">
        <v>34363</v>
      </c>
      <c r="F131" s="94">
        <f t="shared" ca="1" si="7"/>
        <v>22</v>
      </c>
      <c r="G131" s="95"/>
      <c r="H131" s="96">
        <v>12676</v>
      </c>
      <c r="I131" s="97">
        <v>2</v>
      </c>
    </row>
    <row r="132" spans="1:9" ht="13.5" x14ac:dyDescent="0.25">
      <c r="A132" s="91" t="s">
        <v>391</v>
      </c>
      <c r="B132" s="92" t="s">
        <v>271</v>
      </c>
      <c r="C132" s="91" t="s">
        <v>391</v>
      </c>
      <c r="D132" s="91" t="s">
        <v>247</v>
      </c>
      <c r="E132" s="93">
        <v>34427</v>
      </c>
      <c r="F132" s="94">
        <f t="shared" ca="1" si="7"/>
        <v>22</v>
      </c>
      <c r="G132" s="95"/>
      <c r="H132" s="96">
        <v>76020</v>
      </c>
      <c r="I132" s="97">
        <v>1</v>
      </c>
    </row>
    <row r="133" spans="1:9" ht="13.5" x14ac:dyDescent="0.25">
      <c r="A133" s="91" t="s">
        <v>391</v>
      </c>
      <c r="B133" s="92" t="s">
        <v>271</v>
      </c>
      <c r="C133" s="91" t="s">
        <v>391</v>
      </c>
      <c r="D133" s="91" t="s">
        <v>247</v>
      </c>
      <c r="E133" s="93">
        <v>34649</v>
      </c>
      <c r="F133" s="94">
        <f t="shared" ca="1" si="7"/>
        <v>22</v>
      </c>
      <c r="G133" s="95"/>
      <c r="H133" s="96">
        <v>64470</v>
      </c>
      <c r="I133" s="97">
        <v>3</v>
      </c>
    </row>
    <row r="134" spans="1:9" ht="13.5" x14ac:dyDescent="0.25">
      <c r="A134" s="91" t="s">
        <v>391</v>
      </c>
      <c r="B134" s="92" t="s">
        <v>271</v>
      </c>
      <c r="C134" s="91" t="s">
        <v>391</v>
      </c>
      <c r="D134" s="91" t="s">
        <v>256</v>
      </c>
      <c r="E134" s="93">
        <v>34767</v>
      </c>
      <c r="F134" s="94">
        <f t="shared" ca="1" si="7"/>
        <v>21</v>
      </c>
      <c r="G134" s="95" t="s">
        <v>283</v>
      </c>
      <c r="H134" s="96">
        <v>50110</v>
      </c>
      <c r="I134" s="97">
        <v>1</v>
      </c>
    </row>
    <row r="135" spans="1:9" ht="13.5" x14ac:dyDescent="0.25">
      <c r="A135" s="91" t="s">
        <v>391</v>
      </c>
      <c r="B135" s="92" t="s">
        <v>251</v>
      </c>
      <c r="C135" s="91" t="s">
        <v>391</v>
      </c>
      <c r="D135" s="91" t="s">
        <v>247</v>
      </c>
      <c r="E135" s="93">
        <v>34866</v>
      </c>
      <c r="F135" s="94">
        <f t="shared" ca="1" si="7"/>
        <v>21</v>
      </c>
      <c r="G135" s="95"/>
      <c r="H135" s="96">
        <v>32940</v>
      </c>
      <c r="I135" s="97">
        <v>5</v>
      </c>
    </row>
    <row r="136" spans="1:9" ht="13.5" x14ac:dyDescent="0.25">
      <c r="A136" s="91" t="s">
        <v>391</v>
      </c>
      <c r="B136" s="92" t="s">
        <v>285</v>
      </c>
      <c r="C136" s="91" t="s">
        <v>391</v>
      </c>
      <c r="D136" s="91" t="s">
        <v>256</v>
      </c>
      <c r="E136" s="93">
        <v>34959</v>
      </c>
      <c r="F136" s="94">
        <f t="shared" ca="1" si="7"/>
        <v>21</v>
      </c>
      <c r="G136" s="95" t="s">
        <v>283</v>
      </c>
      <c r="H136" s="96">
        <v>61330</v>
      </c>
      <c r="I136" s="97">
        <v>1</v>
      </c>
    </row>
    <row r="137" spans="1:9" ht="13.5" x14ac:dyDescent="0.25">
      <c r="A137" s="91" t="s">
        <v>391</v>
      </c>
      <c r="B137" s="92" t="s">
        <v>266</v>
      </c>
      <c r="C137" s="91" t="s">
        <v>391</v>
      </c>
      <c r="D137" s="91" t="s">
        <v>247</v>
      </c>
      <c r="E137" s="93">
        <v>35032</v>
      </c>
      <c r="F137" s="94">
        <f t="shared" ca="1" si="7"/>
        <v>20</v>
      </c>
      <c r="G137" s="95"/>
      <c r="H137" s="96">
        <v>86970</v>
      </c>
      <c r="I137" s="97">
        <v>4</v>
      </c>
    </row>
    <row r="138" spans="1:9" ht="13.5" x14ac:dyDescent="0.25">
      <c r="A138" s="91" t="s">
        <v>391</v>
      </c>
      <c r="B138" s="92" t="s">
        <v>271</v>
      </c>
      <c r="C138" s="91" t="s">
        <v>391</v>
      </c>
      <c r="D138" s="91" t="s">
        <v>261</v>
      </c>
      <c r="E138" s="93">
        <v>35047</v>
      </c>
      <c r="F138" s="94">
        <f t="shared" ca="1" si="7"/>
        <v>20</v>
      </c>
      <c r="G138" s="95" t="s">
        <v>276</v>
      </c>
      <c r="H138" s="96">
        <v>42905</v>
      </c>
      <c r="I138" s="97">
        <v>1</v>
      </c>
    </row>
    <row r="139" spans="1:9" ht="13.5" x14ac:dyDescent="0.25">
      <c r="A139" s="91" t="s">
        <v>391</v>
      </c>
      <c r="B139" s="92" t="s">
        <v>271</v>
      </c>
      <c r="C139" s="91" t="s">
        <v>391</v>
      </c>
      <c r="D139" s="91" t="s">
        <v>256</v>
      </c>
      <c r="E139" s="93">
        <v>35803</v>
      </c>
      <c r="F139" s="94">
        <f t="shared" ca="1" si="7"/>
        <v>18</v>
      </c>
      <c r="G139" s="95" t="s">
        <v>267</v>
      </c>
      <c r="H139" s="96">
        <v>61150</v>
      </c>
      <c r="I139" s="97">
        <v>4</v>
      </c>
    </row>
    <row r="140" spans="1:9" ht="13.5" x14ac:dyDescent="0.25">
      <c r="A140" s="91" t="s">
        <v>391</v>
      </c>
      <c r="B140" s="92" t="s">
        <v>266</v>
      </c>
      <c r="C140" s="91" t="s">
        <v>391</v>
      </c>
      <c r="D140" s="91" t="s">
        <v>256</v>
      </c>
      <c r="E140" s="93">
        <v>36302</v>
      </c>
      <c r="F140" s="94">
        <f t="shared" ca="1" si="7"/>
        <v>17</v>
      </c>
      <c r="G140" s="95" t="s">
        <v>267</v>
      </c>
      <c r="H140" s="96">
        <v>39740</v>
      </c>
      <c r="I140" s="97">
        <v>1</v>
      </c>
    </row>
    <row r="141" spans="1:9" ht="13.5" x14ac:dyDescent="0.25">
      <c r="A141" s="91" t="s">
        <v>391</v>
      </c>
      <c r="B141" s="92" t="s">
        <v>280</v>
      </c>
      <c r="C141" s="91" t="s">
        <v>391</v>
      </c>
      <c r="D141" s="91" t="s">
        <v>247</v>
      </c>
      <c r="E141" s="93">
        <v>36357</v>
      </c>
      <c r="F141" s="94">
        <f t="shared" ca="1" si="7"/>
        <v>17</v>
      </c>
      <c r="G141" s="95"/>
      <c r="H141" s="96">
        <v>73390</v>
      </c>
      <c r="I141" s="97">
        <v>2</v>
      </c>
    </row>
    <row r="142" spans="1:9" ht="13.5" x14ac:dyDescent="0.25">
      <c r="A142" s="98"/>
      <c r="B142" s="92"/>
      <c r="C142" s="98"/>
      <c r="D142" s="91"/>
      <c r="E142" s="93"/>
      <c r="F142" s="94"/>
      <c r="G142" s="95"/>
      <c r="H142" s="96"/>
      <c r="I142" s="97"/>
    </row>
    <row r="143" spans="1:9" ht="13.5" x14ac:dyDescent="0.25">
      <c r="A143" s="91" t="s">
        <v>411</v>
      </c>
      <c r="B143" s="92" t="s">
        <v>271</v>
      </c>
      <c r="C143" s="91" t="s">
        <v>411</v>
      </c>
      <c r="D143" s="91" t="s">
        <v>256</v>
      </c>
      <c r="E143" s="93">
        <v>34019</v>
      </c>
      <c r="F143" s="94">
        <f t="shared" ref="F143:F148" ca="1" si="8">DATEDIF(E143,TODAY(),"Y")</f>
        <v>23</v>
      </c>
      <c r="G143" s="95" t="s">
        <v>257</v>
      </c>
      <c r="H143" s="96">
        <v>66740</v>
      </c>
      <c r="I143" s="97">
        <v>2</v>
      </c>
    </row>
    <row r="144" spans="1:9" ht="13.5" x14ac:dyDescent="0.25">
      <c r="A144" s="91" t="s">
        <v>411</v>
      </c>
      <c r="B144" s="92" t="s">
        <v>271</v>
      </c>
      <c r="C144" s="91" t="s">
        <v>411</v>
      </c>
      <c r="D144" s="91" t="s">
        <v>256</v>
      </c>
      <c r="E144" s="93">
        <v>34019</v>
      </c>
      <c r="F144" s="94">
        <f t="shared" ca="1" si="8"/>
        <v>23</v>
      </c>
      <c r="G144" s="95" t="s">
        <v>257</v>
      </c>
      <c r="H144" s="96">
        <v>66740</v>
      </c>
      <c r="I144" s="97">
        <v>2</v>
      </c>
    </row>
    <row r="145" spans="1:9" ht="13.5" x14ac:dyDescent="0.25">
      <c r="A145" s="91" t="s">
        <v>411</v>
      </c>
      <c r="B145" s="92" t="s">
        <v>245</v>
      </c>
      <c r="C145" s="91" t="s">
        <v>411</v>
      </c>
      <c r="D145" s="91" t="s">
        <v>256</v>
      </c>
      <c r="E145" s="93">
        <v>35259</v>
      </c>
      <c r="F145" s="94">
        <f t="shared" ca="1" si="8"/>
        <v>20</v>
      </c>
      <c r="G145" s="95" t="s">
        <v>283</v>
      </c>
      <c r="H145" s="96">
        <v>75060</v>
      </c>
      <c r="I145" s="97">
        <v>5</v>
      </c>
    </row>
    <row r="146" spans="1:9" ht="13.5" x14ac:dyDescent="0.25">
      <c r="A146" s="91" t="s">
        <v>411</v>
      </c>
      <c r="B146" s="92" t="s">
        <v>285</v>
      </c>
      <c r="C146" s="91" t="s">
        <v>411</v>
      </c>
      <c r="D146" s="91" t="s">
        <v>247</v>
      </c>
      <c r="E146" s="93">
        <v>37217</v>
      </c>
      <c r="F146" s="94">
        <f t="shared" ca="1" si="8"/>
        <v>14</v>
      </c>
      <c r="G146" s="95"/>
      <c r="H146" s="96">
        <v>60060</v>
      </c>
      <c r="I146" s="97">
        <v>2</v>
      </c>
    </row>
    <row r="147" spans="1:9" ht="13.5" x14ac:dyDescent="0.25">
      <c r="A147" s="91" t="s">
        <v>411</v>
      </c>
      <c r="B147" s="92" t="s">
        <v>285</v>
      </c>
      <c r="C147" s="91" t="s">
        <v>411</v>
      </c>
      <c r="D147" s="91" t="s">
        <v>256</v>
      </c>
      <c r="E147" s="93">
        <v>37277</v>
      </c>
      <c r="F147" s="94">
        <f t="shared" ca="1" si="8"/>
        <v>14</v>
      </c>
      <c r="G147" s="95" t="s">
        <v>257</v>
      </c>
      <c r="H147" s="96">
        <v>47350</v>
      </c>
      <c r="I147" s="97">
        <v>5</v>
      </c>
    </row>
    <row r="148" spans="1:9" ht="13.5" x14ac:dyDescent="0.25">
      <c r="A148" s="91" t="s">
        <v>411</v>
      </c>
      <c r="B148" s="92" t="s">
        <v>245</v>
      </c>
      <c r="C148" s="91" t="s">
        <v>411</v>
      </c>
      <c r="D148" s="91" t="s">
        <v>256</v>
      </c>
      <c r="E148" s="99">
        <v>39090</v>
      </c>
      <c r="F148" s="94">
        <f t="shared" ca="1" si="8"/>
        <v>9</v>
      </c>
      <c r="G148" s="95" t="s">
        <v>283</v>
      </c>
      <c r="H148" s="96">
        <v>79150</v>
      </c>
      <c r="I148" s="97">
        <v>2</v>
      </c>
    </row>
    <row r="149" spans="1:9" ht="13.5" x14ac:dyDescent="0.25">
      <c r="A149" s="98"/>
      <c r="B149" s="92"/>
      <c r="C149" s="98"/>
      <c r="D149" s="91"/>
      <c r="E149" s="99"/>
      <c r="F149" s="94"/>
      <c r="G149" s="95"/>
      <c r="H149" s="96"/>
      <c r="I149" s="97"/>
    </row>
    <row r="150" spans="1:9" ht="13.5" x14ac:dyDescent="0.25">
      <c r="A150" s="91" t="s">
        <v>417</v>
      </c>
      <c r="B150" s="92" t="s">
        <v>280</v>
      </c>
      <c r="C150" s="91" t="s">
        <v>417</v>
      </c>
      <c r="D150" s="91" t="s">
        <v>256</v>
      </c>
      <c r="E150" s="93">
        <v>31769</v>
      </c>
      <c r="F150" s="94">
        <f t="shared" ref="F150:F188" ca="1" si="9">DATEDIF(E150,TODAY(),"Y")</f>
        <v>29</v>
      </c>
      <c r="G150" s="95" t="s">
        <v>276</v>
      </c>
      <c r="H150" s="96">
        <v>32360</v>
      </c>
      <c r="I150" s="97">
        <v>4</v>
      </c>
    </row>
    <row r="151" spans="1:9" ht="13.5" x14ac:dyDescent="0.25">
      <c r="A151" s="91" t="s">
        <v>417</v>
      </c>
      <c r="B151" s="92" t="s">
        <v>271</v>
      </c>
      <c r="C151" s="91" t="s">
        <v>417</v>
      </c>
      <c r="D151" s="91" t="s">
        <v>256</v>
      </c>
      <c r="E151" s="93">
        <v>31807</v>
      </c>
      <c r="F151" s="94">
        <f t="shared" ca="1" si="9"/>
        <v>29</v>
      </c>
      <c r="G151" s="95" t="s">
        <v>267</v>
      </c>
      <c r="H151" s="96">
        <v>35360</v>
      </c>
      <c r="I151" s="97">
        <v>5</v>
      </c>
    </row>
    <row r="152" spans="1:9" ht="13.5" x14ac:dyDescent="0.25">
      <c r="A152" s="91" t="s">
        <v>417</v>
      </c>
      <c r="B152" s="92" t="s">
        <v>271</v>
      </c>
      <c r="C152" s="91" t="s">
        <v>417</v>
      </c>
      <c r="D152" s="91" t="s">
        <v>256</v>
      </c>
      <c r="E152" s="93">
        <v>32095</v>
      </c>
      <c r="F152" s="94">
        <f t="shared" ca="1" si="9"/>
        <v>29</v>
      </c>
      <c r="G152" s="95" t="s">
        <v>283</v>
      </c>
      <c r="H152" s="96">
        <v>32140</v>
      </c>
      <c r="I152" s="97">
        <v>2</v>
      </c>
    </row>
    <row r="153" spans="1:9" ht="13.5" x14ac:dyDescent="0.25">
      <c r="A153" s="91" t="s">
        <v>417</v>
      </c>
      <c r="B153" s="92" t="s">
        <v>285</v>
      </c>
      <c r="C153" s="91" t="s">
        <v>417</v>
      </c>
      <c r="D153" s="91" t="s">
        <v>247</v>
      </c>
      <c r="E153" s="93">
        <v>32114</v>
      </c>
      <c r="F153" s="94">
        <f t="shared" ca="1" si="9"/>
        <v>28</v>
      </c>
      <c r="G153" s="95"/>
      <c r="H153" s="96">
        <v>22320</v>
      </c>
      <c r="I153" s="97">
        <v>2</v>
      </c>
    </row>
    <row r="154" spans="1:9" ht="13.5" x14ac:dyDescent="0.25">
      <c r="A154" s="91" t="s">
        <v>417</v>
      </c>
      <c r="B154" s="92" t="s">
        <v>245</v>
      </c>
      <c r="C154" s="91" t="s">
        <v>417</v>
      </c>
      <c r="D154" s="91" t="s">
        <v>261</v>
      </c>
      <c r="E154" s="93">
        <v>32399</v>
      </c>
      <c r="F154" s="94">
        <f t="shared" ca="1" si="9"/>
        <v>28</v>
      </c>
      <c r="G154" s="95" t="s">
        <v>257</v>
      </c>
      <c r="H154" s="96">
        <v>34110</v>
      </c>
      <c r="I154" s="97">
        <v>4</v>
      </c>
    </row>
    <row r="155" spans="1:9" ht="13.5" x14ac:dyDescent="0.25">
      <c r="A155" s="91" t="s">
        <v>417</v>
      </c>
      <c r="B155" s="92" t="s">
        <v>280</v>
      </c>
      <c r="C155" s="91" t="s">
        <v>417</v>
      </c>
      <c r="D155" s="91" t="s">
        <v>256</v>
      </c>
      <c r="E155" s="93">
        <v>32562</v>
      </c>
      <c r="F155" s="94">
        <f t="shared" ca="1" si="9"/>
        <v>27</v>
      </c>
      <c r="G155" s="95" t="s">
        <v>257</v>
      </c>
      <c r="H155" s="96">
        <v>64510</v>
      </c>
      <c r="I155" s="97">
        <v>3</v>
      </c>
    </row>
    <row r="156" spans="1:9" ht="13.5" x14ac:dyDescent="0.25">
      <c r="A156" s="91" t="s">
        <v>417</v>
      </c>
      <c r="B156" s="92" t="s">
        <v>251</v>
      </c>
      <c r="C156" s="91" t="s">
        <v>417</v>
      </c>
      <c r="D156" s="91" t="s">
        <v>256</v>
      </c>
      <c r="E156" s="93">
        <v>32613</v>
      </c>
      <c r="F156" s="94">
        <f t="shared" ca="1" si="9"/>
        <v>27</v>
      </c>
      <c r="G156" s="95" t="s">
        <v>283</v>
      </c>
      <c r="H156" s="96">
        <v>46340</v>
      </c>
      <c r="I156" s="97">
        <v>5</v>
      </c>
    </row>
    <row r="157" spans="1:9" ht="13.5" x14ac:dyDescent="0.25">
      <c r="A157" s="91" t="s">
        <v>417</v>
      </c>
      <c r="B157" s="92" t="s">
        <v>251</v>
      </c>
      <c r="C157" s="91" t="s">
        <v>417</v>
      </c>
      <c r="D157" s="91" t="s">
        <v>256</v>
      </c>
      <c r="E157" s="93">
        <v>32613</v>
      </c>
      <c r="F157" s="94">
        <f t="shared" ca="1" si="9"/>
        <v>27</v>
      </c>
      <c r="G157" s="95" t="s">
        <v>283</v>
      </c>
      <c r="H157" s="96">
        <v>46340</v>
      </c>
      <c r="I157" s="97">
        <v>5</v>
      </c>
    </row>
    <row r="158" spans="1:9" ht="13.5" x14ac:dyDescent="0.25">
      <c r="A158" s="91" t="s">
        <v>417</v>
      </c>
      <c r="B158" s="92" t="s">
        <v>271</v>
      </c>
      <c r="C158" s="91" t="s">
        <v>417</v>
      </c>
      <c r="D158" s="91" t="s">
        <v>247</v>
      </c>
      <c r="E158" s="93">
        <v>32639</v>
      </c>
      <c r="F158" s="94">
        <f t="shared" ca="1" si="9"/>
        <v>27</v>
      </c>
      <c r="G158" s="95"/>
      <c r="H158" s="96">
        <v>81070</v>
      </c>
      <c r="I158" s="97">
        <v>5</v>
      </c>
    </row>
    <row r="159" spans="1:9" ht="13.5" x14ac:dyDescent="0.25">
      <c r="A159" s="91" t="s">
        <v>417</v>
      </c>
      <c r="B159" s="92" t="s">
        <v>285</v>
      </c>
      <c r="C159" s="91" t="s">
        <v>417</v>
      </c>
      <c r="D159" s="91" t="s">
        <v>256</v>
      </c>
      <c r="E159" s="93">
        <v>32776</v>
      </c>
      <c r="F159" s="94">
        <f t="shared" ca="1" si="9"/>
        <v>27</v>
      </c>
      <c r="G159" s="95" t="s">
        <v>257</v>
      </c>
      <c r="H159" s="96">
        <v>31840</v>
      </c>
      <c r="I159" s="97">
        <v>1</v>
      </c>
    </row>
    <row r="160" spans="1:9" ht="13.5" x14ac:dyDescent="0.25">
      <c r="A160" s="91" t="s">
        <v>417</v>
      </c>
      <c r="B160" s="92" t="s">
        <v>245</v>
      </c>
      <c r="C160" s="91" t="s">
        <v>417</v>
      </c>
      <c r="D160" s="91" t="s">
        <v>247</v>
      </c>
      <c r="E160" s="93">
        <v>32851</v>
      </c>
      <c r="F160" s="94">
        <f t="shared" ca="1" si="9"/>
        <v>26</v>
      </c>
      <c r="G160" s="95"/>
      <c r="H160" s="96">
        <v>64090</v>
      </c>
      <c r="I160" s="97">
        <v>2</v>
      </c>
    </row>
    <row r="161" spans="1:9" ht="13.5" x14ac:dyDescent="0.25">
      <c r="A161" s="91" t="s">
        <v>417</v>
      </c>
      <c r="B161" s="92" t="s">
        <v>271</v>
      </c>
      <c r="C161" s="91" t="s">
        <v>417</v>
      </c>
      <c r="D161" s="91" t="s">
        <v>256</v>
      </c>
      <c r="E161" s="93">
        <v>32903</v>
      </c>
      <c r="F161" s="94">
        <f t="shared" ca="1" si="9"/>
        <v>26</v>
      </c>
      <c r="G161" s="95" t="s">
        <v>257</v>
      </c>
      <c r="H161" s="96">
        <v>72900</v>
      </c>
      <c r="I161" s="97">
        <v>3</v>
      </c>
    </row>
    <row r="162" spans="1:9" ht="13.5" x14ac:dyDescent="0.25">
      <c r="A162" s="91" t="s">
        <v>417</v>
      </c>
      <c r="B162" s="92" t="s">
        <v>285</v>
      </c>
      <c r="C162" s="91" t="s">
        <v>417</v>
      </c>
      <c r="D162" s="91" t="s">
        <v>261</v>
      </c>
      <c r="E162" s="93">
        <v>33445</v>
      </c>
      <c r="F162" s="94">
        <f t="shared" ca="1" si="9"/>
        <v>25</v>
      </c>
      <c r="G162" s="95" t="s">
        <v>267</v>
      </c>
      <c r="H162" s="96">
        <v>15005</v>
      </c>
      <c r="I162" s="97">
        <v>4</v>
      </c>
    </row>
    <row r="163" spans="1:9" ht="13.5" x14ac:dyDescent="0.25">
      <c r="A163" s="91" t="s">
        <v>417</v>
      </c>
      <c r="B163" s="92" t="s">
        <v>245</v>
      </c>
      <c r="C163" s="91" t="s">
        <v>417</v>
      </c>
      <c r="D163" s="91" t="s">
        <v>247</v>
      </c>
      <c r="E163" s="93">
        <v>33451</v>
      </c>
      <c r="F163" s="94">
        <f t="shared" ca="1" si="9"/>
        <v>25</v>
      </c>
      <c r="G163" s="95"/>
      <c r="H163" s="96">
        <v>45040</v>
      </c>
      <c r="I163" s="97">
        <v>5</v>
      </c>
    </row>
    <row r="164" spans="1:9" ht="13.5" x14ac:dyDescent="0.25">
      <c r="A164" s="91" t="s">
        <v>417</v>
      </c>
      <c r="B164" s="92" t="s">
        <v>271</v>
      </c>
      <c r="C164" s="91" t="s">
        <v>417</v>
      </c>
      <c r="D164" s="91" t="s">
        <v>247</v>
      </c>
      <c r="E164" s="93">
        <v>33461</v>
      </c>
      <c r="F164" s="94">
        <f t="shared" ca="1" si="9"/>
        <v>25</v>
      </c>
      <c r="G164" s="95"/>
      <c r="H164" s="96">
        <v>26360</v>
      </c>
      <c r="I164" s="97">
        <v>4</v>
      </c>
    </row>
    <row r="165" spans="1:9" ht="13.5" x14ac:dyDescent="0.25">
      <c r="A165" s="91" t="s">
        <v>417</v>
      </c>
      <c r="B165" s="92" t="s">
        <v>285</v>
      </c>
      <c r="C165" s="91" t="s">
        <v>417</v>
      </c>
      <c r="D165" s="91" t="s">
        <v>247</v>
      </c>
      <c r="E165" s="93">
        <v>33602</v>
      </c>
      <c r="F165" s="94">
        <f t="shared" ca="1" si="9"/>
        <v>24</v>
      </c>
      <c r="G165" s="95"/>
      <c r="H165" s="96">
        <v>40560</v>
      </c>
      <c r="I165" s="97">
        <v>5</v>
      </c>
    </row>
    <row r="166" spans="1:9" ht="13.5" x14ac:dyDescent="0.25">
      <c r="A166" s="91" t="s">
        <v>417</v>
      </c>
      <c r="B166" s="92" t="s">
        <v>285</v>
      </c>
      <c r="C166" s="91" t="s">
        <v>417</v>
      </c>
      <c r="D166" s="91" t="s">
        <v>261</v>
      </c>
      <c r="E166" s="93">
        <v>33760</v>
      </c>
      <c r="F166" s="94">
        <f t="shared" ca="1" si="9"/>
        <v>24</v>
      </c>
      <c r="G166" s="95" t="s">
        <v>276</v>
      </c>
      <c r="H166" s="96">
        <v>21220</v>
      </c>
      <c r="I166" s="97">
        <v>3</v>
      </c>
    </row>
    <row r="167" spans="1:9" ht="13.5" x14ac:dyDescent="0.25">
      <c r="A167" s="91" t="s">
        <v>417</v>
      </c>
      <c r="B167" s="92" t="s">
        <v>271</v>
      </c>
      <c r="C167" s="91" t="s">
        <v>417</v>
      </c>
      <c r="D167" s="91" t="s">
        <v>256</v>
      </c>
      <c r="E167" s="93">
        <v>33774</v>
      </c>
      <c r="F167" s="94">
        <f t="shared" ca="1" si="9"/>
        <v>24</v>
      </c>
      <c r="G167" s="95" t="s">
        <v>276</v>
      </c>
      <c r="H167" s="96">
        <v>49260</v>
      </c>
      <c r="I167" s="97">
        <v>3</v>
      </c>
    </row>
    <row r="168" spans="1:9" ht="13.5" x14ac:dyDescent="0.25">
      <c r="A168" s="91" t="s">
        <v>417</v>
      </c>
      <c r="B168" s="92" t="s">
        <v>285</v>
      </c>
      <c r="C168" s="91" t="s">
        <v>417</v>
      </c>
      <c r="D168" s="91" t="s">
        <v>261</v>
      </c>
      <c r="E168" s="93">
        <v>33876</v>
      </c>
      <c r="F168" s="94">
        <f t="shared" ca="1" si="9"/>
        <v>24</v>
      </c>
      <c r="G168" s="95" t="s">
        <v>276</v>
      </c>
      <c r="H168" s="96">
        <v>32835</v>
      </c>
      <c r="I168" s="97">
        <v>2</v>
      </c>
    </row>
    <row r="169" spans="1:9" ht="13.5" x14ac:dyDescent="0.25">
      <c r="A169" s="91" t="s">
        <v>417</v>
      </c>
      <c r="B169" s="92" t="s">
        <v>285</v>
      </c>
      <c r="C169" s="91" t="s">
        <v>417</v>
      </c>
      <c r="D169" s="91" t="s">
        <v>256</v>
      </c>
      <c r="E169" s="93">
        <v>33943</v>
      </c>
      <c r="F169" s="94">
        <f t="shared" ca="1" si="9"/>
        <v>23</v>
      </c>
      <c r="G169" s="95" t="s">
        <v>257</v>
      </c>
      <c r="H169" s="96">
        <v>63780</v>
      </c>
      <c r="I169" s="97">
        <v>5</v>
      </c>
    </row>
    <row r="170" spans="1:9" ht="13.5" x14ac:dyDescent="0.25">
      <c r="A170" s="91" t="s">
        <v>417</v>
      </c>
      <c r="B170" s="92" t="s">
        <v>285</v>
      </c>
      <c r="C170" s="91" t="s">
        <v>417</v>
      </c>
      <c r="D170" s="91" t="s">
        <v>256</v>
      </c>
      <c r="E170" s="93">
        <v>34191</v>
      </c>
      <c r="F170" s="94">
        <f t="shared" ca="1" si="9"/>
        <v>23</v>
      </c>
      <c r="G170" s="95" t="s">
        <v>283</v>
      </c>
      <c r="H170" s="96">
        <v>37750</v>
      </c>
      <c r="I170" s="97">
        <v>5</v>
      </c>
    </row>
    <row r="171" spans="1:9" ht="13.5" x14ac:dyDescent="0.25">
      <c r="A171" s="91" t="s">
        <v>417</v>
      </c>
      <c r="B171" s="92" t="s">
        <v>271</v>
      </c>
      <c r="C171" s="91" t="s">
        <v>417</v>
      </c>
      <c r="D171" s="91" t="s">
        <v>256</v>
      </c>
      <c r="E171" s="93">
        <v>34295</v>
      </c>
      <c r="F171" s="94">
        <f t="shared" ca="1" si="9"/>
        <v>22</v>
      </c>
      <c r="G171" s="95" t="s">
        <v>283</v>
      </c>
      <c r="H171" s="96">
        <v>56870</v>
      </c>
      <c r="I171" s="97">
        <v>1</v>
      </c>
    </row>
    <row r="172" spans="1:9" ht="13.5" x14ac:dyDescent="0.25">
      <c r="A172" s="91" t="s">
        <v>417</v>
      </c>
      <c r="B172" s="92" t="s">
        <v>271</v>
      </c>
      <c r="C172" s="91" t="s">
        <v>417</v>
      </c>
      <c r="D172" s="91" t="s">
        <v>247</v>
      </c>
      <c r="E172" s="93">
        <v>34629</v>
      </c>
      <c r="F172" s="94">
        <f t="shared" ca="1" si="9"/>
        <v>22</v>
      </c>
      <c r="G172" s="95"/>
      <c r="H172" s="96">
        <v>25120</v>
      </c>
      <c r="I172" s="97">
        <v>5</v>
      </c>
    </row>
    <row r="173" spans="1:9" ht="13.5" x14ac:dyDescent="0.25">
      <c r="A173" s="91" t="s">
        <v>417</v>
      </c>
      <c r="B173" s="92" t="s">
        <v>251</v>
      </c>
      <c r="C173" s="91" t="s">
        <v>417</v>
      </c>
      <c r="D173" s="91" t="s">
        <v>256</v>
      </c>
      <c r="E173" s="93">
        <v>34679</v>
      </c>
      <c r="F173" s="94">
        <f t="shared" ca="1" si="9"/>
        <v>21</v>
      </c>
      <c r="G173" s="95" t="s">
        <v>262</v>
      </c>
      <c r="H173" s="96">
        <v>71010</v>
      </c>
      <c r="I173" s="97">
        <v>5</v>
      </c>
    </row>
    <row r="174" spans="1:9" ht="13.5" x14ac:dyDescent="0.25">
      <c r="A174" s="91" t="s">
        <v>417</v>
      </c>
      <c r="B174" s="92" t="s">
        <v>251</v>
      </c>
      <c r="C174" s="91" t="s">
        <v>417</v>
      </c>
      <c r="D174" s="91" t="s">
        <v>256</v>
      </c>
      <c r="E174" s="93">
        <v>34772</v>
      </c>
      <c r="F174" s="94">
        <f t="shared" ca="1" si="9"/>
        <v>21</v>
      </c>
      <c r="G174" s="95" t="s">
        <v>283</v>
      </c>
      <c r="H174" s="96">
        <v>82400</v>
      </c>
      <c r="I174" s="97">
        <v>2</v>
      </c>
    </row>
    <row r="175" spans="1:9" ht="13.5" x14ac:dyDescent="0.25">
      <c r="A175" s="91" t="s">
        <v>417</v>
      </c>
      <c r="B175" s="92" t="s">
        <v>280</v>
      </c>
      <c r="C175" s="91" t="s">
        <v>417</v>
      </c>
      <c r="D175" s="91" t="s">
        <v>252</v>
      </c>
      <c r="E175" s="93">
        <v>34953</v>
      </c>
      <c r="F175" s="94">
        <f t="shared" ca="1" si="9"/>
        <v>21</v>
      </c>
      <c r="G175" s="95"/>
      <c r="H175" s="96">
        <v>38768</v>
      </c>
      <c r="I175" s="97">
        <v>4</v>
      </c>
    </row>
    <row r="176" spans="1:9" ht="13.5" x14ac:dyDescent="0.25">
      <c r="A176" s="91" t="s">
        <v>417</v>
      </c>
      <c r="B176" s="92" t="s">
        <v>280</v>
      </c>
      <c r="C176" s="91" t="s">
        <v>417</v>
      </c>
      <c r="D176" s="91" t="s">
        <v>256</v>
      </c>
      <c r="E176" s="93">
        <v>35104</v>
      </c>
      <c r="F176" s="94">
        <f t="shared" ca="1" si="9"/>
        <v>20</v>
      </c>
      <c r="G176" s="95" t="s">
        <v>276</v>
      </c>
      <c r="H176" s="96">
        <v>39680</v>
      </c>
      <c r="I176" s="97">
        <v>5</v>
      </c>
    </row>
    <row r="177" spans="1:9" ht="13.5" x14ac:dyDescent="0.25">
      <c r="A177" s="91" t="s">
        <v>417</v>
      </c>
      <c r="B177" s="92" t="s">
        <v>245</v>
      </c>
      <c r="C177" s="91" t="s">
        <v>417</v>
      </c>
      <c r="D177" s="91" t="s">
        <v>256</v>
      </c>
      <c r="E177" s="93">
        <v>35333</v>
      </c>
      <c r="F177" s="94">
        <f t="shared" ca="1" si="9"/>
        <v>20</v>
      </c>
      <c r="G177" s="95" t="s">
        <v>283</v>
      </c>
      <c r="H177" s="96">
        <v>71380</v>
      </c>
      <c r="I177" s="97">
        <v>2</v>
      </c>
    </row>
    <row r="178" spans="1:9" ht="13.5" x14ac:dyDescent="0.25">
      <c r="A178" s="91" t="s">
        <v>417</v>
      </c>
      <c r="B178" s="92" t="s">
        <v>271</v>
      </c>
      <c r="C178" s="91" t="s">
        <v>417</v>
      </c>
      <c r="D178" s="91" t="s">
        <v>256</v>
      </c>
      <c r="E178" s="93">
        <v>35978</v>
      </c>
      <c r="F178" s="94">
        <f t="shared" ca="1" si="9"/>
        <v>18</v>
      </c>
      <c r="G178" s="95" t="s">
        <v>257</v>
      </c>
      <c r="H178" s="96">
        <v>42480</v>
      </c>
      <c r="I178" s="97">
        <v>3</v>
      </c>
    </row>
    <row r="179" spans="1:9" ht="13.5" x14ac:dyDescent="0.25">
      <c r="A179" s="91" t="s">
        <v>417</v>
      </c>
      <c r="B179" s="92" t="s">
        <v>285</v>
      </c>
      <c r="C179" s="91" t="s">
        <v>417</v>
      </c>
      <c r="D179" s="91" t="s">
        <v>247</v>
      </c>
      <c r="E179" s="93">
        <v>36331</v>
      </c>
      <c r="F179" s="94">
        <f t="shared" ca="1" si="9"/>
        <v>17</v>
      </c>
      <c r="G179" s="95"/>
      <c r="H179" s="96">
        <v>31970</v>
      </c>
      <c r="I179" s="97">
        <v>5</v>
      </c>
    </row>
    <row r="180" spans="1:9" ht="13.5" x14ac:dyDescent="0.25">
      <c r="A180" s="91" t="s">
        <v>417</v>
      </c>
      <c r="B180" s="92" t="s">
        <v>285</v>
      </c>
      <c r="C180" s="91" t="s">
        <v>417</v>
      </c>
      <c r="D180" s="91" t="s">
        <v>256</v>
      </c>
      <c r="E180" s="93">
        <v>36825</v>
      </c>
      <c r="F180" s="94">
        <f t="shared" ca="1" si="9"/>
        <v>16</v>
      </c>
      <c r="G180" s="95" t="s">
        <v>267</v>
      </c>
      <c r="H180" s="96">
        <v>65560</v>
      </c>
      <c r="I180" s="97">
        <v>1</v>
      </c>
    </row>
    <row r="181" spans="1:9" ht="13.5" x14ac:dyDescent="0.25">
      <c r="A181" s="91" t="s">
        <v>417</v>
      </c>
      <c r="B181" s="92" t="s">
        <v>285</v>
      </c>
      <c r="C181" s="91" t="s">
        <v>417</v>
      </c>
      <c r="D181" s="91" t="s">
        <v>256</v>
      </c>
      <c r="E181" s="93">
        <v>37443</v>
      </c>
      <c r="F181" s="94">
        <f t="shared" ca="1" si="9"/>
        <v>14</v>
      </c>
      <c r="G181" s="95" t="s">
        <v>257</v>
      </c>
      <c r="H181" s="96">
        <v>22410</v>
      </c>
      <c r="I181" s="97">
        <v>4</v>
      </c>
    </row>
    <row r="182" spans="1:9" ht="13.5" x14ac:dyDescent="0.25">
      <c r="A182" s="91" t="s">
        <v>417</v>
      </c>
      <c r="B182" s="92" t="s">
        <v>271</v>
      </c>
      <c r="C182" s="91" t="s">
        <v>417</v>
      </c>
      <c r="D182" s="91" t="s">
        <v>261</v>
      </c>
      <c r="E182" s="93">
        <v>38458</v>
      </c>
      <c r="F182" s="94">
        <f t="shared" ca="1" si="9"/>
        <v>11</v>
      </c>
      <c r="G182" s="95" t="s">
        <v>257</v>
      </c>
      <c r="H182" s="96">
        <v>39515</v>
      </c>
      <c r="I182" s="97">
        <v>5</v>
      </c>
    </row>
    <row r="183" spans="1:9" ht="13.5" x14ac:dyDescent="0.25">
      <c r="A183" s="91" t="s">
        <v>417</v>
      </c>
      <c r="B183" s="92" t="s">
        <v>271</v>
      </c>
      <c r="C183" s="91" t="s">
        <v>417</v>
      </c>
      <c r="D183" s="91" t="s">
        <v>252</v>
      </c>
      <c r="E183" s="93">
        <v>38583</v>
      </c>
      <c r="F183" s="94">
        <f t="shared" ca="1" si="9"/>
        <v>11</v>
      </c>
      <c r="G183" s="95"/>
      <c r="H183" s="96">
        <v>15744</v>
      </c>
      <c r="I183" s="97">
        <v>3</v>
      </c>
    </row>
    <row r="184" spans="1:9" ht="13.5" x14ac:dyDescent="0.25">
      <c r="A184" s="91" t="s">
        <v>417</v>
      </c>
      <c r="B184" s="92" t="s">
        <v>251</v>
      </c>
      <c r="C184" s="91" t="s">
        <v>417</v>
      </c>
      <c r="D184" s="91" t="s">
        <v>247</v>
      </c>
      <c r="E184" s="93">
        <v>38744</v>
      </c>
      <c r="F184" s="94">
        <f t="shared" ca="1" si="9"/>
        <v>10</v>
      </c>
      <c r="G184" s="95"/>
      <c r="H184" s="96">
        <v>56920</v>
      </c>
      <c r="I184" s="97">
        <v>4</v>
      </c>
    </row>
    <row r="185" spans="1:9" ht="13.5" x14ac:dyDescent="0.25">
      <c r="A185" s="91" t="s">
        <v>417</v>
      </c>
      <c r="B185" s="92" t="s">
        <v>271</v>
      </c>
      <c r="C185" s="91" t="s">
        <v>417</v>
      </c>
      <c r="D185" s="91" t="s">
        <v>247</v>
      </c>
      <c r="E185" s="99">
        <v>38926</v>
      </c>
      <c r="F185" s="94">
        <f t="shared" ca="1" si="9"/>
        <v>10</v>
      </c>
      <c r="G185" s="95"/>
      <c r="H185" s="96">
        <v>45830</v>
      </c>
      <c r="I185" s="97">
        <v>4</v>
      </c>
    </row>
    <row r="186" spans="1:9" ht="13.5" x14ac:dyDescent="0.25">
      <c r="A186" s="91" t="s">
        <v>417</v>
      </c>
      <c r="B186" s="92" t="s">
        <v>266</v>
      </c>
      <c r="C186" s="91" t="s">
        <v>417</v>
      </c>
      <c r="D186" s="91" t="s">
        <v>247</v>
      </c>
      <c r="E186" s="93">
        <v>38949</v>
      </c>
      <c r="F186" s="94">
        <f t="shared" ca="1" si="9"/>
        <v>10</v>
      </c>
      <c r="G186" s="95"/>
      <c r="H186" s="96">
        <v>45710</v>
      </c>
      <c r="I186" s="97">
        <v>3</v>
      </c>
    </row>
    <row r="187" spans="1:9" ht="13.5" x14ac:dyDescent="0.25">
      <c r="A187" s="91" t="s">
        <v>417</v>
      </c>
      <c r="B187" s="92" t="s">
        <v>271</v>
      </c>
      <c r="C187" s="91" t="s">
        <v>417</v>
      </c>
      <c r="D187" s="91" t="s">
        <v>256</v>
      </c>
      <c r="E187" s="93">
        <v>39089</v>
      </c>
      <c r="F187" s="94">
        <f t="shared" ca="1" si="9"/>
        <v>9</v>
      </c>
      <c r="G187" s="95" t="s">
        <v>267</v>
      </c>
      <c r="H187" s="96">
        <v>32640</v>
      </c>
      <c r="I187" s="97">
        <v>4</v>
      </c>
    </row>
    <row r="188" spans="1:9" ht="13.5" x14ac:dyDescent="0.25">
      <c r="A188" s="91" t="s">
        <v>417</v>
      </c>
      <c r="B188" s="92" t="s">
        <v>285</v>
      </c>
      <c r="C188" s="91" t="s">
        <v>417</v>
      </c>
      <c r="D188" s="91" t="s">
        <v>256</v>
      </c>
      <c r="E188" s="93">
        <v>39160</v>
      </c>
      <c r="F188" s="94">
        <f t="shared" ca="1" si="9"/>
        <v>9</v>
      </c>
      <c r="G188" s="95" t="s">
        <v>283</v>
      </c>
      <c r="H188" s="96">
        <v>42620</v>
      </c>
      <c r="I188" s="97">
        <v>3</v>
      </c>
    </row>
    <row r="189" spans="1:9" ht="13.5" x14ac:dyDescent="0.25">
      <c r="A189" s="98"/>
      <c r="B189" s="92"/>
      <c r="C189" s="98"/>
      <c r="D189" s="91"/>
      <c r="E189" s="93"/>
      <c r="F189" s="94"/>
      <c r="G189" s="95"/>
      <c r="H189" s="96"/>
      <c r="I189" s="97"/>
    </row>
    <row r="190" spans="1:9" ht="13.5" x14ac:dyDescent="0.25">
      <c r="A190" s="91" t="s">
        <v>456</v>
      </c>
      <c r="B190" s="92" t="s">
        <v>271</v>
      </c>
      <c r="C190" s="91" t="s">
        <v>456</v>
      </c>
      <c r="D190" s="91" t="s">
        <v>256</v>
      </c>
      <c r="E190" s="93">
        <v>32075</v>
      </c>
      <c r="F190" s="94">
        <f t="shared" ref="F190:F197" ca="1" si="10">DATEDIF(E190,TODAY(),"Y")</f>
        <v>29</v>
      </c>
      <c r="G190" s="95" t="s">
        <v>257</v>
      </c>
      <c r="H190" s="96">
        <v>89140</v>
      </c>
      <c r="I190" s="97">
        <v>1</v>
      </c>
    </row>
    <row r="191" spans="1:9" ht="13.5" x14ac:dyDescent="0.25">
      <c r="A191" s="91" t="s">
        <v>456</v>
      </c>
      <c r="B191" s="92" t="s">
        <v>271</v>
      </c>
      <c r="C191" s="91" t="s">
        <v>456</v>
      </c>
      <c r="D191" s="91" t="s">
        <v>261</v>
      </c>
      <c r="E191" s="93">
        <v>33091</v>
      </c>
      <c r="F191" s="94">
        <f t="shared" ca="1" si="10"/>
        <v>26</v>
      </c>
      <c r="G191" s="95" t="s">
        <v>267</v>
      </c>
      <c r="H191" s="96">
        <v>89780</v>
      </c>
      <c r="I191" s="97">
        <v>4</v>
      </c>
    </row>
    <row r="192" spans="1:9" ht="13.5" x14ac:dyDescent="0.25">
      <c r="A192" s="91" t="s">
        <v>456</v>
      </c>
      <c r="B192" s="92" t="s">
        <v>271</v>
      </c>
      <c r="C192" s="91" t="s">
        <v>456</v>
      </c>
      <c r="D192" s="91" t="s">
        <v>252</v>
      </c>
      <c r="E192" s="93">
        <v>35209</v>
      </c>
      <c r="F192" s="94">
        <f t="shared" ca="1" si="10"/>
        <v>20</v>
      </c>
      <c r="G192" s="95" t="s">
        <v>283</v>
      </c>
      <c r="H192" s="96">
        <v>61860</v>
      </c>
      <c r="I192" s="97">
        <v>5</v>
      </c>
    </row>
    <row r="193" spans="1:9" ht="13.5" x14ac:dyDescent="0.25">
      <c r="A193" s="91" t="s">
        <v>456</v>
      </c>
      <c r="B193" s="92" t="s">
        <v>280</v>
      </c>
      <c r="C193" s="91" t="s">
        <v>456</v>
      </c>
      <c r="D193" s="91" t="s">
        <v>247</v>
      </c>
      <c r="E193" s="93">
        <v>35363</v>
      </c>
      <c r="F193" s="94">
        <f t="shared" ca="1" si="10"/>
        <v>20</v>
      </c>
      <c r="G193" s="95" t="s">
        <v>283</v>
      </c>
      <c r="H193" s="96">
        <v>69410</v>
      </c>
      <c r="I193" s="97">
        <v>4</v>
      </c>
    </row>
    <row r="194" spans="1:9" ht="13.5" x14ac:dyDescent="0.25">
      <c r="A194" s="91" t="s">
        <v>456</v>
      </c>
      <c r="B194" s="92" t="s">
        <v>280</v>
      </c>
      <c r="C194" s="91" t="s">
        <v>456</v>
      </c>
      <c r="D194" s="91" t="s">
        <v>256</v>
      </c>
      <c r="E194" s="93">
        <v>35733</v>
      </c>
      <c r="F194" s="94">
        <f t="shared" ca="1" si="10"/>
        <v>19</v>
      </c>
      <c r="G194" s="95" t="s">
        <v>262</v>
      </c>
      <c r="H194" s="96">
        <v>45150</v>
      </c>
      <c r="I194" s="97">
        <v>1</v>
      </c>
    </row>
    <row r="195" spans="1:9" ht="13.5" x14ac:dyDescent="0.25">
      <c r="A195" s="91" t="s">
        <v>456</v>
      </c>
      <c r="B195" s="92" t="s">
        <v>285</v>
      </c>
      <c r="C195" s="91" t="s">
        <v>456</v>
      </c>
      <c r="D195" s="91" t="s">
        <v>261</v>
      </c>
      <c r="E195" s="93">
        <v>36195</v>
      </c>
      <c r="F195" s="94">
        <f t="shared" ca="1" si="10"/>
        <v>17</v>
      </c>
      <c r="G195" s="95" t="s">
        <v>276</v>
      </c>
      <c r="H195" s="96">
        <v>51800</v>
      </c>
      <c r="I195" s="97">
        <v>1</v>
      </c>
    </row>
    <row r="196" spans="1:9" ht="13.5" x14ac:dyDescent="0.25">
      <c r="A196" s="91" t="s">
        <v>456</v>
      </c>
      <c r="B196" s="92" t="s">
        <v>285</v>
      </c>
      <c r="C196" s="91" t="s">
        <v>456</v>
      </c>
      <c r="D196" s="91" t="s">
        <v>252</v>
      </c>
      <c r="E196" s="93">
        <v>36636</v>
      </c>
      <c r="F196" s="94">
        <f t="shared" ca="1" si="10"/>
        <v>16</v>
      </c>
      <c r="G196" s="95" t="s">
        <v>257</v>
      </c>
      <c r="H196" s="96">
        <v>85130</v>
      </c>
      <c r="I196" s="97">
        <v>5</v>
      </c>
    </row>
    <row r="197" spans="1:9" ht="13.5" x14ac:dyDescent="0.25">
      <c r="A197" s="91" t="s">
        <v>456</v>
      </c>
      <c r="B197" s="92" t="s">
        <v>251</v>
      </c>
      <c r="C197" s="91" t="s">
        <v>456</v>
      </c>
      <c r="D197" s="91" t="s">
        <v>247</v>
      </c>
      <c r="E197" s="93">
        <v>38953</v>
      </c>
      <c r="F197" s="94">
        <f t="shared" ca="1" si="10"/>
        <v>10</v>
      </c>
      <c r="G197" s="95" t="s">
        <v>267</v>
      </c>
      <c r="H197" s="96">
        <v>71190</v>
      </c>
      <c r="I197" s="97">
        <v>4</v>
      </c>
    </row>
    <row r="198" spans="1:9" ht="13.5" x14ac:dyDescent="0.25">
      <c r="A198" s="98"/>
      <c r="B198" s="92"/>
      <c r="C198" s="98"/>
      <c r="D198" s="91"/>
      <c r="E198" s="93"/>
      <c r="F198" s="94"/>
      <c r="G198" s="95"/>
      <c r="H198" s="96"/>
      <c r="I198" s="97"/>
    </row>
    <row r="199" spans="1:9" ht="13.5" x14ac:dyDescent="0.25">
      <c r="A199" s="91" t="s">
        <v>465</v>
      </c>
      <c r="B199" s="92" t="s">
        <v>285</v>
      </c>
      <c r="C199" s="91" t="s">
        <v>465</v>
      </c>
      <c r="D199" s="91" t="s">
        <v>256</v>
      </c>
      <c r="E199" s="93">
        <v>32303</v>
      </c>
      <c r="F199" s="94">
        <f t="shared" ref="F199:F230" ca="1" si="11">DATEDIF(E199,TODAY(),"Y")</f>
        <v>28</v>
      </c>
      <c r="G199" s="95" t="s">
        <v>586</v>
      </c>
      <c r="H199" s="96">
        <v>56900</v>
      </c>
      <c r="I199" s="97">
        <v>5</v>
      </c>
    </row>
    <row r="200" spans="1:9" ht="13.5" x14ac:dyDescent="0.25">
      <c r="A200" s="91" t="s">
        <v>465</v>
      </c>
      <c r="B200" s="92" t="s">
        <v>271</v>
      </c>
      <c r="C200" s="91" t="s">
        <v>465</v>
      </c>
      <c r="D200" s="91" t="s">
        <v>256</v>
      </c>
      <c r="E200" s="93">
        <v>32321</v>
      </c>
      <c r="F200" s="94">
        <f t="shared" ca="1" si="11"/>
        <v>28</v>
      </c>
      <c r="G200" s="95" t="s">
        <v>257</v>
      </c>
      <c r="H200" s="96">
        <v>52940</v>
      </c>
      <c r="I200" s="97">
        <v>4</v>
      </c>
    </row>
    <row r="201" spans="1:9" ht="13.5" x14ac:dyDescent="0.25">
      <c r="A201" s="91" t="s">
        <v>465</v>
      </c>
      <c r="B201" s="92" t="s">
        <v>271</v>
      </c>
      <c r="C201" s="91" t="s">
        <v>465</v>
      </c>
      <c r="D201" s="91" t="s">
        <v>256</v>
      </c>
      <c r="E201" s="93">
        <v>32338</v>
      </c>
      <c r="F201" s="94">
        <f t="shared" ca="1" si="11"/>
        <v>28</v>
      </c>
      <c r="G201" s="95" t="s">
        <v>276</v>
      </c>
      <c r="H201" s="96">
        <v>60380</v>
      </c>
      <c r="I201" s="97">
        <v>4</v>
      </c>
    </row>
    <row r="202" spans="1:9" ht="13.5" x14ac:dyDescent="0.25">
      <c r="A202" s="91" t="s">
        <v>465</v>
      </c>
      <c r="B202" s="92" t="s">
        <v>245</v>
      </c>
      <c r="C202" s="91" t="s">
        <v>465</v>
      </c>
      <c r="D202" s="91" t="s">
        <v>256</v>
      </c>
      <c r="E202" s="93">
        <v>32410</v>
      </c>
      <c r="F202" s="94">
        <f t="shared" ca="1" si="11"/>
        <v>28</v>
      </c>
      <c r="G202" s="95" t="s">
        <v>283</v>
      </c>
      <c r="H202" s="96">
        <v>58910</v>
      </c>
      <c r="I202" s="97">
        <v>1</v>
      </c>
    </row>
    <row r="203" spans="1:9" ht="13.5" x14ac:dyDescent="0.25">
      <c r="A203" s="91" t="s">
        <v>465</v>
      </c>
      <c r="B203" s="92" t="s">
        <v>271</v>
      </c>
      <c r="C203" s="91" t="s">
        <v>465</v>
      </c>
      <c r="D203" s="91" t="s">
        <v>256</v>
      </c>
      <c r="E203" s="93">
        <v>32411</v>
      </c>
      <c r="F203" s="94">
        <f t="shared" ca="1" si="11"/>
        <v>28</v>
      </c>
      <c r="G203" s="95" t="s">
        <v>283</v>
      </c>
      <c r="H203" s="96">
        <v>26190</v>
      </c>
      <c r="I203" s="97">
        <v>5</v>
      </c>
    </row>
    <row r="204" spans="1:9" ht="13.5" x14ac:dyDescent="0.25">
      <c r="A204" s="91" t="s">
        <v>465</v>
      </c>
      <c r="B204" s="92" t="s">
        <v>280</v>
      </c>
      <c r="C204" s="91" t="s">
        <v>465</v>
      </c>
      <c r="D204" s="91" t="s">
        <v>252</v>
      </c>
      <c r="E204" s="93">
        <v>32441</v>
      </c>
      <c r="F204" s="94">
        <f t="shared" ca="1" si="11"/>
        <v>28</v>
      </c>
      <c r="G204" s="95"/>
      <c r="H204" s="96">
        <v>22344</v>
      </c>
      <c r="I204" s="97">
        <v>4</v>
      </c>
    </row>
    <row r="205" spans="1:9" ht="13.5" x14ac:dyDescent="0.25">
      <c r="A205" s="91" t="s">
        <v>465</v>
      </c>
      <c r="B205" s="92" t="s">
        <v>285</v>
      </c>
      <c r="C205" s="91" t="s">
        <v>465</v>
      </c>
      <c r="D205" s="91" t="s">
        <v>247</v>
      </c>
      <c r="E205" s="93">
        <v>32464</v>
      </c>
      <c r="F205" s="94">
        <f t="shared" ca="1" si="11"/>
        <v>27</v>
      </c>
      <c r="G205" s="95"/>
      <c r="H205" s="96">
        <v>32190</v>
      </c>
      <c r="I205" s="97">
        <v>3</v>
      </c>
    </row>
    <row r="206" spans="1:9" ht="13.5" x14ac:dyDescent="0.25">
      <c r="A206" s="91" t="s">
        <v>465</v>
      </c>
      <c r="B206" s="92" t="s">
        <v>271</v>
      </c>
      <c r="C206" s="91" t="s">
        <v>465</v>
      </c>
      <c r="D206" s="91" t="s">
        <v>247</v>
      </c>
      <c r="E206" s="93">
        <v>32509</v>
      </c>
      <c r="F206" s="94">
        <f t="shared" ca="1" si="11"/>
        <v>27</v>
      </c>
      <c r="G206" s="95"/>
      <c r="H206" s="96">
        <v>49530</v>
      </c>
      <c r="I206" s="97">
        <v>2</v>
      </c>
    </row>
    <row r="207" spans="1:9" ht="13.5" x14ac:dyDescent="0.25">
      <c r="A207" s="91" t="s">
        <v>465</v>
      </c>
      <c r="B207" s="92" t="s">
        <v>271</v>
      </c>
      <c r="C207" s="91" t="s">
        <v>465</v>
      </c>
      <c r="D207" s="91" t="s">
        <v>247</v>
      </c>
      <c r="E207" s="93">
        <v>32669</v>
      </c>
      <c r="F207" s="94">
        <f t="shared" ca="1" si="11"/>
        <v>27</v>
      </c>
      <c r="G207" s="95"/>
      <c r="H207" s="96">
        <v>73990</v>
      </c>
      <c r="I207" s="97">
        <v>3</v>
      </c>
    </row>
    <row r="208" spans="1:9" ht="13.5" x14ac:dyDescent="0.25">
      <c r="A208" s="91" t="s">
        <v>465</v>
      </c>
      <c r="B208" s="92" t="s">
        <v>271</v>
      </c>
      <c r="C208" s="91" t="s">
        <v>465</v>
      </c>
      <c r="D208" s="91" t="s">
        <v>256</v>
      </c>
      <c r="E208" s="93">
        <v>32683</v>
      </c>
      <c r="F208" s="94">
        <f t="shared" ca="1" si="11"/>
        <v>27</v>
      </c>
      <c r="G208" s="95" t="s">
        <v>283</v>
      </c>
      <c r="H208" s="96">
        <v>45500</v>
      </c>
      <c r="I208" s="97">
        <v>3</v>
      </c>
    </row>
    <row r="209" spans="1:9" ht="13.5" x14ac:dyDescent="0.25">
      <c r="A209" s="91" t="s">
        <v>465</v>
      </c>
      <c r="B209" s="92" t="s">
        <v>251</v>
      </c>
      <c r="C209" s="91" t="s">
        <v>465</v>
      </c>
      <c r="D209" s="91" t="s">
        <v>247</v>
      </c>
      <c r="E209" s="93">
        <v>32721</v>
      </c>
      <c r="F209" s="94">
        <f t="shared" ca="1" si="11"/>
        <v>27</v>
      </c>
      <c r="G209" s="95"/>
      <c r="H209" s="96">
        <v>64430</v>
      </c>
      <c r="I209" s="97">
        <v>4</v>
      </c>
    </row>
    <row r="210" spans="1:9" ht="13.5" x14ac:dyDescent="0.25">
      <c r="A210" s="91" t="s">
        <v>465</v>
      </c>
      <c r="B210" s="92" t="s">
        <v>245</v>
      </c>
      <c r="C210" s="91" t="s">
        <v>465</v>
      </c>
      <c r="D210" s="91" t="s">
        <v>247</v>
      </c>
      <c r="E210" s="93">
        <v>32743</v>
      </c>
      <c r="F210" s="94">
        <f t="shared" ca="1" si="11"/>
        <v>27</v>
      </c>
      <c r="G210" s="95"/>
      <c r="H210" s="96">
        <v>79220</v>
      </c>
      <c r="I210" s="97">
        <v>4</v>
      </c>
    </row>
    <row r="211" spans="1:9" ht="13.5" x14ac:dyDescent="0.25">
      <c r="A211" s="91" t="s">
        <v>465</v>
      </c>
      <c r="B211" s="92" t="s">
        <v>280</v>
      </c>
      <c r="C211" s="91" t="s">
        <v>465</v>
      </c>
      <c r="D211" s="91" t="s">
        <v>256</v>
      </c>
      <c r="E211" s="93">
        <v>32758</v>
      </c>
      <c r="F211" s="94">
        <f t="shared" ca="1" si="11"/>
        <v>27</v>
      </c>
      <c r="G211" s="95" t="s">
        <v>283</v>
      </c>
      <c r="H211" s="96">
        <v>23330</v>
      </c>
      <c r="I211" s="97">
        <v>4</v>
      </c>
    </row>
    <row r="212" spans="1:9" ht="13.5" x14ac:dyDescent="0.25">
      <c r="A212" s="91" t="s">
        <v>465</v>
      </c>
      <c r="B212" s="92" t="s">
        <v>271</v>
      </c>
      <c r="C212" s="91" t="s">
        <v>465</v>
      </c>
      <c r="D212" s="91" t="s">
        <v>247</v>
      </c>
      <c r="E212" s="93">
        <v>32839</v>
      </c>
      <c r="F212" s="94">
        <f t="shared" ca="1" si="11"/>
        <v>26</v>
      </c>
      <c r="G212" s="95"/>
      <c r="H212" s="96">
        <v>45770</v>
      </c>
      <c r="I212" s="97">
        <v>5</v>
      </c>
    </row>
    <row r="213" spans="1:9" ht="13.5" x14ac:dyDescent="0.25">
      <c r="A213" s="91" t="s">
        <v>465</v>
      </c>
      <c r="B213" s="92" t="s">
        <v>271</v>
      </c>
      <c r="C213" s="91" t="s">
        <v>465</v>
      </c>
      <c r="D213" s="91" t="s">
        <v>256</v>
      </c>
      <c r="E213" s="93">
        <v>32841</v>
      </c>
      <c r="F213" s="94">
        <f t="shared" ca="1" si="11"/>
        <v>26</v>
      </c>
      <c r="G213" s="95" t="s">
        <v>283</v>
      </c>
      <c r="H213" s="96">
        <v>81980</v>
      </c>
      <c r="I213" s="97">
        <v>2</v>
      </c>
    </row>
    <row r="214" spans="1:9" ht="13.5" x14ac:dyDescent="0.25">
      <c r="A214" s="91" t="s">
        <v>465</v>
      </c>
      <c r="B214" s="92" t="s">
        <v>245</v>
      </c>
      <c r="C214" s="91" t="s">
        <v>465</v>
      </c>
      <c r="D214" s="91" t="s">
        <v>261</v>
      </c>
      <c r="E214" s="93">
        <v>32853</v>
      </c>
      <c r="F214" s="94">
        <f t="shared" ca="1" si="11"/>
        <v>26</v>
      </c>
      <c r="G214" s="95" t="s">
        <v>262</v>
      </c>
      <c r="H214" s="96">
        <v>18895</v>
      </c>
      <c r="I214" s="97">
        <v>4</v>
      </c>
    </row>
    <row r="215" spans="1:9" ht="13.5" x14ac:dyDescent="0.25">
      <c r="A215" s="91" t="s">
        <v>465</v>
      </c>
      <c r="B215" s="92" t="s">
        <v>280</v>
      </c>
      <c r="C215" s="91" t="s">
        <v>465</v>
      </c>
      <c r="D215" s="91" t="s">
        <v>252</v>
      </c>
      <c r="E215" s="93">
        <v>32855</v>
      </c>
      <c r="F215" s="94">
        <f t="shared" ca="1" si="11"/>
        <v>26</v>
      </c>
      <c r="G215" s="95"/>
      <c r="H215" s="96">
        <v>30416</v>
      </c>
      <c r="I215" s="97">
        <v>1</v>
      </c>
    </row>
    <row r="216" spans="1:9" ht="13.5" x14ac:dyDescent="0.25">
      <c r="A216" s="91" t="s">
        <v>465</v>
      </c>
      <c r="B216" s="92" t="s">
        <v>280</v>
      </c>
      <c r="C216" s="91" t="s">
        <v>465</v>
      </c>
      <c r="D216" s="91" t="s">
        <v>247</v>
      </c>
      <c r="E216" s="93">
        <v>32955</v>
      </c>
      <c r="F216" s="94">
        <f t="shared" ca="1" si="11"/>
        <v>26</v>
      </c>
      <c r="G216" s="95"/>
      <c r="H216" s="96">
        <v>35460</v>
      </c>
      <c r="I216" s="97">
        <v>3</v>
      </c>
    </row>
    <row r="217" spans="1:9" ht="13.5" x14ac:dyDescent="0.25">
      <c r="A217" s="91" t="s">
        <v>465</v>
      </c>
      <c r="B217" s="92" t="s">
        <v>271</v>
      </c>
      <c r="C217" s="91" t="s">
        <v>465</v>
      </c>
      <c r="D217" s="91" t="s">
        <v>256</v>
      </c>
      <c r="E217" s="93">
        <v>33094</v>
      </c>
      <c r="F217" s="94">
        <f t="shared" ca="1" si="11"/>
        <v>26</v>
      </c>
      <c r="G217" s="95" t="s">
        <v>283</v>
      </c>
      <c r="H217" s="96">
        <v>24710</v>
      </c>
      <c r="I217" s="97">
        <v>2</v>
      </c>
    </row>
    <row r="218" spans="1:9" ht="13.5" x14ac:dyDescent="0.25">
      <c r="A218" s="91" t="s">
        <v>465</v>
      </c>
      <c r="B218" s="92" t="s">
        <v>271</v>
      </c>
      <c r="C218" s="91" t="s">
        <v>465</v>
      </c>
      <c r="D218" s="91" t="s">
        <v>247</v>
      </c>
      <c r="E218" s="93">
        <v>33115</v>
      </c>
      <c r="F218" s="94">
        <f t="shared" ca="1" si="11"/>
        <v>26</v>
      </c>
      <c r="G218" s="95"/>
      <c r="H218" s="96">
        <v>63310</v>
      </c>
      <c r="I218" s="97">
        <v>3</v>
      </c>
    </row>
    <row r="219" spans="1:9" ht="13.5" x14ac:dyDescent="0.25">
      <c r="A219" s="91" t="s">
        <v>465</v>
      </c>
      <c r="B219" s="92" t="s">
        <v>251</v>
      </c>
      <c r="C219" s="91" t="s">
        <v>465</v>
      </c>
      <c r="D219" s="91" t="s">
        <v>256</v>
      </c>
      <c r="E219" s="93">
        <v>33173</v>
      </c>
      <c r="F219" s="94">
        <f t="shared" ca="1" si="11"/>
        <v>26</v>
      </c>
      <c r="G219" s="95" t="s">
        <v>257</v>
      </c>
      <c r="H219" s="96">
        <v>81010</v>
      </c>
      <c r="I219" s="97">
        <v>4</v>
      </c>
    </row>
    <row r="220" spans="1:9" ht="13.5" x14ac:dyDescent="0.25">
      <c r="A220" s="91" t="s">
        <v>465</v>
      </c>
      <c r="B220" s="92" t="s">
        <v>245</v>
      </c>
      <c r="C220" s="91" t="s">
        <v>465</v>
      </c>
      <c r="D220" s="91" t="s">
        <v>256</v>
      </c>
      <c r="E220" s="93">
        <v>33231</v>
      </c>
      <c r="F220" s="94">
        <f t="shared" ca="1" si="11"/>
        <v>25</v>
      </c>
      <c r="G220" s="95" t="s">
        <v>276</v>
      </c>
      <c r="H220" s="96">
        <v>34480</v>
      </c>
      <c r="I220" s="97">
        <v>3</v>
      </c>
    </row>
    <row r="221" spans="1:9" ht="13.5" x14ac:dyDescent="0.25">
      <c r="A221" s="91" t="s">
        <v>465</v>
      </c>
      <c r="B221" s="92" t="s">
        <v>251</v>
      </c>
      <c r="C221" s="91" t="s">
        <v>465</v>
      </c>
      <c r="D221" s="91" t="s">
        <v>261</v>
      </c>
      <c r="E221" s="93">
        <v>33273</v>
      </c>
      <c r="F221" s="94">
        <f t="shared" ca="1" si="11"/>
        <v>25</v>
      </c>
      <c r="G221" s="95" t="s">
        <v>262</v>
      </c>
      <c r="H221" s="96">
        <v>15260</v>
      </c>
      <c r="I221" s="97">
        <v>2</v>
      </c>
    </row>
    <row r="222" spans="1:9" ht="13.5" x14ac:dyDescent="0.25">
      <c r="A222" s="91" t="s">
        <v>465</v>
      </c>
      <c r="B222" s="92" t="s">
        <v>266</v>
      </c>
      <c r="C222" s="91" t="s">
        <v>465</v>
      </c>
      <c r="D222" s="91" t="s">
        <v>247</v>
      </c>
      <c r="E222" s="93">
        <v>33361</v>
      </c>
      <c r="F222" s="94">
        <f t="shared" ca="1" si="11"/>
        <v>25</v>
      </c>
      <c r="G222" s="95"/>
      <c r="H222" s="96">
        <v>80690</v>
      </c>
      <c r="I222" s="97">
        <v>3</v>
      </c>
    </row>
    <row r="223" spans="1:9" ht="13.5" x14ac:dyDescent="0.25">
      <c r="A223" s="91" t="s">
        <v>465</v>
      </c>
      <c r="B223" s="92" t="s">
        <v>251</v>
      </c>
      <c r="C223" s="91" t="s">
        <v>465</v>
      </c>
      <c r="D223" s="91" t="s">
        <v>256</v>
      </c>
      <c r="E223" s="93">
        <v>33475</v>
      </c>
      <c r="F223" s="94">
        <f t="shared" ca="1" si="11"/>
        <v>25</v>
      </c>
      <c r="G223" s="95" t="s">
        <v>257</v>
      </c>
      <c r="H223" s="96">
        <v>24300</v>
      </c>
      <c r="I223" s="97">
        <v>3</v>
      </c>
    </row>
    <row r="224" spans="1:9" ht="13.5" x14ac:dyDescent="0.25">
      <c r="A224" s="91" t="s">
        <v>465</v>
      </c>
      <c r="B224" s="92" t="s">
        <v>285</v>
      </c>
      <c r="C224" s="91" t="s">
        <v>465</v>
      </c>
      <c r="D224" s="91" t="s">
        <v>256</v>
      </c>
      <c r="E224" s="93">
        <v>33571</v>
      </c>
      <c r="F224" s="94">
        <f t="shared" ca="1" si="11"/>
        <v>24</v>
      </c>
      <c r="G224" s="95" t="s">
        <v>262</v>
      </c>
      <c r="H224" s="96">
        <v>63070</v>
      </c>
      <c r="I224" s="97">
        <v>1</v>
      </c>
    </row>
    <row r="225" spans="1:9" ht="13.5" x14ac:dyDescent="0.25">
      <c r="A225" s="91" t="s">
        <v>465</v>
      </c>
      <c r="B225" s="92" t="s">
        <v>285</v>
      </c>
      <c r="C225" s="91" t="s">
        <v>465</v>
      </c>
      <c r="D225" s="91" t="s">
        <v>256</v>
      </c>
      <c r="E225" s="93">
        <v>33661</v>
      </c>
      <c r="F225" s="94">
        <f t="shared" ca="1" si="11"/>
        <v>24</v>
      </c>
      <c r="G225" s="95" t="s">
        <v>283</v>
      </c>
      <c r="H225" s="96">
        <v>67050</v>
      </c>
      <c r="I225" s="97">
        <v>4</v>
      </c>
    </row>
    <row r="226" spans="1:9" ht="13.5" x14ac:dyDescent="0.25">
      <c r="A226" s="91" t="s">
        <v>465</v>
      </c>
      <c r="B226" s="92" t="s">
        <v>245</v>
      </c>
      <c r="C226" s="91" t="s">
        <v>465</v>
      </c>
      <c r="D226" s="91" t="s">
        <v>256</v>
      </c>
      <c r="E226" s="93">
        <v>33710</v>
      </c>
      <c r="F226" s="94">
        <f t="shared" ca="1" si="11"/>
        <v>24</v>
      </c>
      <c r="G226" s="95" t="s">
        <v>262</v>
      </c>
      <c r="H226" s="96">
        <v>38940</v>
      </c>
      <c r="I226" s="97">
        <v>2</v>
      </c>
    </row>
    <row r="227" spans="1:9" ht="13.5" x14ac:dyDescent="0.25">
      <c r="A227" s="91" t="s">
        <v>465</v>
      </c>
      <c r="B227" s="92" t="s">
        <v>285</v>
      </c>
      <c r="C227" s="91" t="s">
        <v>465</v>
      </c>
      <c r="D227" s="91" t="s">
        <v>256</v>
      </c>
      <c r="E227" s="93">
        <v>33714</v>
      </c>
      <c r="F227" s="94">
        <f t="shared" ca="1" si="11"/>
        <v>24</v>
      </c>
      <c r="G227" s="95" t="s">
        <v>283</v>
      </c>
      <c r="H227" s="96">
        <v>73072</v>
      </c>
      <c r="I227" s="97">
        <v>5</v>
      </c>
    </row>
    <row r="228" spans="1:9" ht="13.5" x14ac:dyDescent="0.25">
      <c r="A228" s="91" t="s">
        <v>465</v>
      </c>
      <c r="B228" s="92" t="s">
        <v>271</v>
      </c>
      <c r="C228" s="91" t="s">
        <v>465</v>
      </c>
      <c r="D228" s="91" t="s">
        <v>256</v>
      </c>
      <c r="E228" s="93">
        <v>33846</v>
      </c>
      <c r="F228" s="94">
        <f t="shared" ca="1" si="11"/>
        <v>24</v>
      </c>
      <c r="G228" s="95" t="s">
        <v>283</v>
      </c>
      <c r="H228" s="96">
        <v>86260</v>
      </c>
      <c r="I228" s="97">
        <v>3</v>
      </c>
    </row>
    <row r="229" spans="1:9" ht="13.5" x14ac:dyDescent="0.25">
      <c r="A229" s="91" t="s">
        <v>465</v>
      </c>
      <c r="B229" s="92" t="s">
        <v>285</v>
      </c>
      <c r="C229" s="91" t="s">
        <v>465</v>
      </c>
      <c r="D229" s="91" t="s">
        <v>247</v>
      </c>
      <c r="E229" s="93">
        <v>33875</v>
      </c>
      <c r="F229" s="94">
        <f t="shared" ca="1" si="11"/>
        <v>24</v>
      </c>
      <c r="G229" s="95"/>
      <c r="H229" s="96">
        <v>24410</v>
      </c>
      <c r="I229" s="97">
        <v>3</v>
      </c>
    </row>
    <row r="230" spans="1:9" ht="13.5" x14ac:dyDescent="0.25">
      <c r="A230" s="91" t="s">
        <v>465</v>
      </c>
      <c r="B230" s="92" t="s">
        <v>271</v>
      </c>
      <c r="C230" s="91" t="s">
        <v>465</v>
      </c>
      <c r="D230" s="91" t="s">
        <v>256</v>
      </c>
      <c r="E230" s="93">
        <v>33878</v>
      </c>
      <c r="F230" s="94">
        <f t="shared" ca="1" si="11"/>
        <v>24</v>
      </c>
      <c r="G230" s="95" t="s">
        <v>283</v>
      </c>
      <c r="H230" s="96">
        <v>44270</v>
      </c>
      <c r="I230" s="97">
        <v>2</v>
      </c>
    </row>
    <row r="231" spans="1:9" ht="13.5" x14ac:dyDescent="0.25">
      <c r="A231" s="91" t="s">
        <v>465</v>
      </c>
      <c r="B231" s="92" t="s">
        <v>285</v>
      </c>
      <c r="C231" s="91" t="s">
        <v>465</v>
      </c>
      <c r="D231" s="91" t="s">
        <v>261</v>
      </c>
      <c r="E231" s="93">
        <v>33879</v>
      </c>
      <c r="F231" s="94">
        <f t="shared" ref="F231:F262" ca="1" si="12">DATEDIF(E231,TODAY(),"Y")</f>
        <v>24</v>
      </c>
      <c r="G231" s="95" t="s">
        <v>257</v>
      </c>
      <c r="H231" s="96">
        <v>46285</v>
      </c>
      <c r="I231" s="97">
        <v>5</v>
      </c>
    </row>
    <row r="232" spans="1:9" ht="13.5" x14ac:dyDescent="0.25">
      <c r="A232" s="91" t="s">
        <v>465</v>
      </c>
      <c r="B232" s="92" t="s">
        <v>285</v>
      </c>
      <c r="C232" s="91" t="s">
        <v>465</v>
      </c>
      <c r="D232" s="91" t="s">
        <v>256</v>
      </c>
      <c r="E232" s="93">
        <v>33889</v>
      </c>
      <c r="F232" s="94">
        <f t="shared" ca="1" si="12"/>
        <v>24</v>
      </c>
      <c r="G232" s="95" t="s">
        <v>257</v>
      </c>
      <c r="H232" s="96">
        <v>73450</v>
      </c>
      <c r="I232" s="97">
        <v>3</v>
      </c>
    </row>
    <row r="233" spans="1:9" ht="13.5" x14ac:dyDescent="0.25">
      <c r="A233" s="91" t="s">
        <v>465</v>
      </c>
      <c r="B233" s="92" t="s">
        <v>251</v>
      </c>
      <c r="C233" s="91" t="s">
        <v>465</v>
      </c>
      <c r="D233" s="91" t="s">
        <v>256</v>
      </c>
      <c r="E233" s="93">
        <v>34001</v>
      </c>
      <c r="F233" s="94">
        <f t="shared" ca="1" si="12"/>
        <v>23</v>
      </c>
      <c r="G233" s="95" t="s">
        <v>267</v>
      </c>
      <c r="H233" s="96">
        <v>39520</v>
      </c>
      <c r="I233" s="97">
        <v>5</v>
      </c>
    </row>
    <row r="234" spans="1:9" ht="13.5" x14ac:dyDescent="0.25">
      <c r="A234" s="91" t="s">
        <v>465</v>
      </c>
      <c r="B234" s="92" t="s">
        <v>251</v>
      </c>
      <c r="C234" s="91" t="s">
        <v>465</v>
      </c>
      <c r="D234" s="91" t="s">
        <v>261</v>
      </c>
      <c r="E234" s="93">
        <v>34033</v>
      </c>
      <c r="F234" s="94">
        <f t="shared" ca="1" si="12"/>
        <v>23</v>
      </c>
      <c r="G234" s="95" t="s">
        <v>257</v>
      </c>
      <c r="H234" s="96">
        <v>46645</v>
      </c>
      <c r="I234" s="97">
        <v>5</v>
      </c>
    </row>
    <row r="235" spans="1:9" ht="13.5" x14ac:dyDescent="0.25">
      <c r="A235" s="91" t="s">
        <v>465</v>
      </c>
      <c r="B235" s="92" t="s">
        <v>271</v>
      </c>
      <c r="C235" s="91" t="s">
        <v>465</v>
      </c>
      <c r="D235" s="91" t="s">
        <v>247</v>
      </c>
      <c r="E235" s="93">
        <v>34039</v>
      </c>
      <c r="F235" s="94">
        <f t="shared" ca="1" si="12"/>
        <v>23</v>
      </c>
      <c r="G235" s="95"/>
      <c r="H235" s="96">
        <v>52940</v>
      </c>
      <c r="I235" s="97">
        <v>4</v>
      </c>
    </row>
    <row r="236" spans="1:9" ht="13.5" x14ac:dyDescent="0.25">
      <c r="A236" s="91" t="s">
        <v>465</v>
      </c>
      <c r="B236" s="92" t="s">
        <v>271</v>
      </c>
      <c r="C236" s="91" t="s">
        <v>465</v>
      </c>
      <c r="D236" s="91" t="s">
        <v>256</v>
      </c>
      <c r="E236" s="93">
        <v>34046</v>
      </c>
      <c r="F236" s="94">
        <f t="shared" ca="1" si="12"/>
        <v>23</v>
      </c>
      <c r="G236" s="95" t="s">
        <v>262</v>
      </c>
      <c r="H236" s="96">
        <v>45480</v>
      </c>
      <c r="I236" s="97">
        <v>4</v>
      </c>
    </row>
    <row r="237" spans="1:9" ht="13.5" x14ac:dyDescent="0.25">
      <c r="A237" s="91" t="s">
        <v>465</v>
      </c>
      <c r="B237" s="92" t="s">
        <v>266</v>
      </c>
      <c r="C237" s="91" t="s">
        <v>465</v>
      </c>
      <c r="D237" s="91" t="s">
        <v>247</v>
      </c>
      <c r="E237" s="93">
        <v>34050</v>
      </c>
      <c r="F237" s="94">
        <f t="shared" ca="1" si="12"/>
        <v>23</v>
      </c>
      <c r="G237" s="95"/>
      <c r="H237" s="96">
        <v>28260</v>
      </c>
      <c r="I237" s="97">
        <v>5</v>
      </c>
    </row>
    <row r="238" spans="1:9" ht="13.5" x14ac:dyDescent="0.25">
      <c r="A238" s="91" t="s">
        <v>465</v>
      </c>
      <c r="B238" s="92" t="s">
        <v>266</v>
      </c>
      <c r="C238" s="91" t="s">
        <v>465</v>
      </c>
      <c r="D238" s="91" t="s">
        <v>256</v>
      </c>
      <c r="E238" s="93">
        <v>34051</v>
      </c>
      <c r="F238" s="94">
        <f t="shared" ca="1" si="12"/>
        <v>23</v>
      </c>
      <c r="G238" s="95" t="s">
        <v>257</v>
      </c>
      <c r="H238" s="96">
        <v>59320</v>
      </c>
      <c r="I238" s="97">
        <v>4</v>
      </c>
    </row>
    <row r="239" spans="1:9" ht="13.5" x14ac:dyDescent="0.25">
      <c r="A239" s="91" t="s">
        <v>465</v>
      </c>
      <c r="B239" s="92" t="s">
        <v>271</v>
      </c>
      <c r="C239" s="91" t="s">
        <v>465</v>
      </c>
      <c r="D239" s="91" t="s">
        <v>247</v>
      </c>
      <c r="E239" s="93">
        <v>34069</v>
      </c>
      <c r="F239" s="94">
        <f t="shared" ca="1" si="12"/>
        <v>23</v>
      </c>
      <c r="G239" s="95"/>
      <c r="H239" s="96">
        <v>66010</v>
      </c>
      <c r="I239" s="97">
        <v>2</v>
      </c>
    </row>
    <row r="240" spans="1:9" ht="13.5" x14ac:dyDescent="0.25">
      <c r="A240" s="91" t="s">
        <v>465</v>
      </c>
      <c r="B240" s="92" t="s">
        <v>271</v>
      </c>
      <c r="C240" s="91" t="s">
        <v>465</v>
      </c>
      <c r="D240" s="91" t="s">
        <v>247</v>
      </c>
      <c r="E240" s="93">
        <v>34141</v>
      </c>
      <c r="F240" s="94">
        <f t="shared" ca="1" si="12"/>
        <v>23</v>
      </c>
      <c r="G240" s="95"/>
      <c r="H240" s="96">
        <v>42150</v>
      </c>
      <c r="I240" s="97">
        <v>5</v>
      </c>
    </row>
    <row r="241" spans="1:9" ht="13.5" x14ac:dyDescent="0.25">
      <c r="A241" s="91" t="s">
        <v>465</v>
      </c>
      <c r="B241" s="92" t="s">
        <v>245</v>
      </c>
      <c r="C241" s="91" t="s">
        <v>465</v>
      </c>
      <c r="D241" s="91" t="s">
        <v>252</v>
      </c>
      <c r="E241" s="93">
        <v>34180</v>
      </c>
      <c r="F241" s="94">
        <f t="shared" ca="1" si="12"/>
        <v>23</v>
      </c>
      <c r="G241" s="95"/>
      <c r="H241" s="96">
        <v>22472</v>
      </c>
      <c r="I241" s="97">
        <v>1</v>
      </c>
    </row>
    <row r="242" spans="1:9" ht="13.5" x14ac:dyDescent="0.25">
      <c r="A242" s="91" t="s">
        <v>465</v>
      </c>
      <c r="B242" s="92" t="s">
        <v>245</v>
      </c>
      <c r="C242" s="91" t="s">
        <v>465</v>
      </c>
      <c r="D242" s="91" t="s">
        <v>256</v>
      </c>
      <c r="E242" s="93">
        <v>34201</v>
      </c>
      <c r="F242" s="94">
        <f t="shared" ca="1" si="12"/>
        <v>23</v>
      </c>
      <c r="G242" s="95" t="s">
        <v>283</v>
      </c>
      <c r="H242" s="96">
        <v>73144</v>
      </c>
      <c r="I242" s="97">
        <v>5</v>
      </c>
    </row>
    <row r="243" spans="1:9" ht="13.5" x14ac:dyDescent="0.25">
      <c r="A243" s="91" t="s">
        <v>465</v>
      </c>
      <c r="B243" s="92" t="s">
        <v>271</v>
      </c>
      <c r="C243" s="91" t="s">
        <v>465</v>
      </c>
      <c r="D243" s="91" t="s">
        <v>256</v>
      </c>
      <c r="E243" s="93">
        <v>34210</v>
      </c>
      <c r="F243" s="94">
        <f t="shared" ca="1" si="12"/>
        <v>23</v>
      </c>
      <c r="G243" s="95" t="s">
        <v>257</v>
      </c>
      <c r="H243" s="96">
        <v>79730</v>
      </c>
      <c r="I243" s="97">
        <v>2</v>
      </c>
    </row>
    <row r="244" spans="1:9" ht="13.5" x14ac:dyDescent="0.25">
      <c r="A244" s="91" t="s">
        <v>465</v>
      </c>
      <c r="B244" s="92" t="s">
        <v>285</v>
      </c>
      <c r="C244" s="91" t="s">
        <v>465</v>
      </c>
      <c r="D244" s="91" t="s">
        <v>256</v>
      </c>
      <c r="E244" s="93">
        <v>34216</v>
      </c>
      <c r="F244" s="94">
        <f t="shared" ca="1" si="12"/>
        <v>23</v>
      </c>
      <c r="G244" s="95" t="s">
        <v>283</v>
      </c>
      <c r="H244" s="96">
        <v>32390</v>
      </c>
      <c r="I244" s="97">
        <v>2</v>
      </c>
    </row>
    <row r="245" spans="1:9" ht="13.5" x14ac:dyDescent="0.25">
      <c r="A245" s="91" t="s">
        <v>465</v>
      </c>
      <c r="B245" s="92" t="s">
        <v>280</v>
      </c>
      <c r="C245" s="91" t="s">
        <v>465</v>
      </c>
      <c r="D245" s="91" t="s">
        <v>256</v>
      </c>
      <c r="E245" s="93">
        <v>34219</v>
      </c>
      <c r="F245" s="94">
        <f t="shared" ca="1" si="12"/>
        <v>23</v>
      </c>
      <c r="G245" s="95" t="s">
        <v>267</v>
      </c>
      <c r="H245" s="96">
        <v>44920</v>
      </c>
      <c r="I245" s="97">
        <v>1</v>
      </c>
    </row>
    <row r="246" spans="1:9" ht="13.5" x14ac:dyDescent="0.25">
      <c r="A246" s="91" t="s">
        <v>465</v>
      </c>
      <c r="B246" s="92" t="s">
        <v>271</v>
      </c>
      <c r="C246" s="91" t="s">
        <v>465</v>
      </c>
      <c r="D246" s="91" t="s">
        <v>256</v>
      </c>
      <c r="E246" s="93">
        <v>34279</v>
      </c>
      <c r="F246" s="94">
        <f t="shared" ca="1" si="12"/>
        <v>23</v>
      </c>
      <c r="G246" s="95" t="s">
        <v>257</v>
      </c>
      <c r="H246" s="96">
        <v>60280</v>
      </c>
      <c r="I246" s="97">
        <v>1</v>
      </c>
    </row>
    <row r="247" spans="1:9" ht="13.5" x14ac:dyDescent="0.25">
      <c r="A247" s="91" t="s">
        <v>465</v>
      </c>
      <c r="B247" s="92" t="s">
        <v>251</v>
      </c>
      <c r="C247" s="91" t="s">
        <v>465</v>
      </c>
      <c r="D247" s="91" t="s">
        <v>256</v>
      </c>
      <c r="E247" s="93">
        <v>34281</v>
      </c>
      <c r="F247" s="94">
        <f t="shared" ca="1" si="12"/>
        <v>23</v>
      </c>
      <c r="G247" s="95" t="s">
        <v>283</v>
      </c>
      <c r="H247" s="96">
        <v>61150</v>
      </c>
      <c r="I247" s="97">
        <v>2</v>
      </c>
    </row>
    <row r="248" spans="1:9" ht="13.5" x14ac:dyDescent="0.25">
      <c r="A248" s="91" t="s">
        <v>465</v>
      </c>
      <c r="B248" s="92" t="s">
        <v>271</v>
      </c>
      <c r="C248" s="91" t="s">
        <v>465</v>
      </c>
      <c r="D248" s="91" t="s">
        <v>256</v>
      </c>
      <c r="E248" s="93">
        <v>34385</v>
      </c>
      <c r="F248" s="94">
        <f t="shared" ca="1" si="12"/>
        <v>22</v>
      </c>
      <c r="G248" s="95" t="s">
        <v>257</v>
      </c>
      <c r="H248" s="96">
        <v>60100</v>
      </c>
      <c r="I248" s="97">
        <v>1</v>
      </c>
    </row>
    <row r="249" spans="1:9" ht="13.5" x14ac:dyDescent="0.25">
      <c r="A249" s="91" t="s">
        <v>465</v>
      </c>
      <c r="B249" s="92" t="s">
        <v>285</v>
      </c>
      <c r="C249" s="91" t="s">
        <v>465</v>
      </c>
      <c r="D249" s="91" t="s">
        <v>256</v>
      </c>
      <c r="E249" s="93">
        <v>34393</v>
      </c>
      <c r="F249" s="94">
        <f t="shared" ca="1" si="12"/>
        <v>22</v>
      </c>
      <c r="G249" s="95" t="s">
        <v>262</v>
      </c>
      <c r="H249" s="96">
        <v>66430</v>
      </c>
      <c r="I249" s="97">
        <v>2</v>
      </c>
    </row>
    <row r="250" spans="1:9" ht="13.5" x14ac:dyDescent="0.25">
      <c r="A250" s="91" t="s">
        <v>465</v>
      </c>
      <c r="B250" s="92" t="s">
        <v>245</v>
      </c>
      <c r="C250" s="91" t="s">
        <v>465</v>
      </c>
      <c r="D250" s="91" t="s">
        <v>256</v>
      </c>
      <c r="E250" s="93">
        <v>34404</v>
      </c>
      <c r="F250" s="94">
        <f t="shared" ca="1" si="12"/>
        <v>22</v>
      </c>
      <c r="G250" s="95" t="s">
        <v>262</v>
      </c>
      <c r="H250" s="96">
        <v>70020</v>
      </c>
      <c r="I250" s="97">
        <v>3</v>
      </c>
    </row>
    <row r="251" spans="1:9" ht="13.5" x14ac:dyDescent="0.25">
      <c r="A251" s="91" t="s">
        <v>465</v>
      </c>
      <c r="B251" s="92" t="s">
        <v>251</v>
      </c>
      <c r="C251" s="91" t="s">
        <v>465</v>
      </c>
      <c r="D251" s="91" t="s">
        <v>256</v>
      </c>
      <c r="E251" s="93">
        <v>34491</v>
      </c>
      <c r="F251" s="94">
        <f t="shared" ca="1" si="12"/>
        <v>22</v>
      </c>
      <c r="G251" s="95" t="s">
        <v>257</v>
      </c>
      <c r="H251" s="96">
        <v>78570</v>
      </c>
      <c r="I251" s="97">
        <v>1</v>
      </c>
    </row>
    <row r="252" spans="1:9" ht="13.5" x14ac:dyDescent="0.25">
      <c r="A252" s="91" t="s">
        <v>465</v>
      </c>
      <c r="B252" s="92" t="s">
        <v>251</v>
      </c>
      <c r="C252" s="91" t="s">
        <v>465</v>
      </c>
      <c r="D252" s="91" t="s">
        <v>261</v>
      </c>
      <c r="E252" s="93">
        <v>34497</v>
      </c>
      <c r="F252" s="94">
        <f t="shared" ca="1" si="12"/>
        <v>22</v>
      </c>
      <c r="G252" s="95" t="s">
        <v>257</v>
      </c>
      <c r="H252" s="96">
        <v>48835</v>
      </c>
      <c r="I252" s="97">
        <v>5</v>
      </c>
    </row>
    <row r="253" spans="1:9" ht="13.5" x14ac:dyDescent="0.25">
      <c r="A253" s="91" t="s">
        <v>465</v>
      </c>
      <c r="B253" s="92" t="s">
        <v>245</v>
      </c>
      <c r="C253" s="91" t="s">
        <v>465</v>
      </c>
      <c r="D253" s="91" t="s">
        <v>252</v>
      </c>
      <c r="E253" s="93">
        <v>34519</v>
      </c>
      <c r="F253" s="94">
        <f t="shared" ca="1" si="12"/>
        <v>22</v>
      </c>
      <c r="G253" s="95"/>
      <c r="H253" s="96">
        <v>29176</v>
      </c>
      <c r="I253" s="97">
        <v>3</v>
      </c>
    </row>
    <row r="254" spans="1:9" ht="13.5" x14ac:dyDescent="0.25">
      <c r="A254" s="91" t="s">
        <v>465</v>
      </c>
      <c r="B254" s="92" t="s">
        <v>266</v>
      </c>
      <c r="C254" s="91" t="s">
        <v>465</v>
      </c>
      <c r="D254" s="91" t="s">
        <v>256</v>
      </c>
      <c r="E254" s="93">
        <v>34520</v>
      </c>
      <c r="F254" s="94">
        <f t="shared" ca="1" si="12"/>
        <v>22</v>
      </c>
      <c r="G254" s="95" t="s">
        <v>267</v>
      </c>
      <c r="H254" s="96">
        <v>35460</v>
      </c>
      <c r="I254" s="97">
        <v>5</v>
      </c>
    </row>
    <row r="255" spans="1:9" ht="13.5" x14ac:dyDescent="0.25">
      <c r="A255" s="91" t="s">
        <v>465</v>
      </c>
      <c r="B255" s="92" t="s">
        <v>251</v>
      </c>
      <c r="C255" s="91" t="s">
        <v>465</v>
      </c>
      <c r="D255" s="91" t="s">
        <v>247</v>
      </c>
      <c r="E255" s="93">
        <v>34617</v>
      </c>
      <c r="F255" s="94">
        <f t="shared" ca="1" si="12"/>
        <v>22</v>
      </c>
      <c r="G255" s="95"/>
      <c r="H255" s="96">
        <v>76910</v>
      </c>
      <c r="I255" s="97">
        <v>1</v>
      </c>
    </row>
    <row r="256" spans="1:9" ht="13.5" x14ac:dyDescent="0.25">
      <c r="A256" s="91" t="s">
        <v>465</v>
      </c>
      <c r="B256" s="92" t="s">
        <v>285</v>
      </c>
      <c r="C256" s="91" t="s">
        <v>465</v>
      </c>
      <c r="D256" s="91" t="s">
        <v>256</v>
      </c>
      <c r="E256" s="93">
        <v>34622</v>
      </c>
      <c r="F256" s="94">
        <f t="shared" ca="1" si="12"/>
        <v>22</v>
      </c>
      <c r="G256" s="95" t="s">
        <v>283</v>
      </c>
      <c r="H256" s="96">
        <v>89740</v>
      </c>
      <c r="I256" s="97">
        <v>5</v>
      </c>
    </row>
    <row r="257" spans="1:9" ht="13.5" x14ac:dyDescent="0.25">
      <c r="A257" s="91" t="s">
        <v>465</v>
      </c>
      <c r="B257" s="92" t="s">
        <v>245</v>
      </c>
      <c r="C257" s="91" t="s">
        <v>465</v>
      </c>
      <c r="D257" s="91" t="s">
        <v>256</v>
      </c>
      <c r="E257" s="93">
        <v>34628</v>
      </c>
      <c r="F257" s="94">
        <f t="shared" ca="1" si="12"/>
        <v>22</v>
      </c>
      <c r="G257" s="95" t="s">
        <v>267</v>
      </c>
      <c r="H257" s="96">
        <v>55450</v>
      </c>
      <c r="I257" s="97">
        <v>5</v>
      </c>
    </row>
    <row r="258" spans="1:9" ht="13.5" x14ac:dyDescent="0.25">
      <c r="A258" s="91" t="s">
        <v>465</v>
      </c>
      <c r="B258" s="92" t="s">
        <v>285</v>
      </c>
      <c r="C258" s="91" t="s">
        <v>465</v>
      </c>
      <c r="D258" s="91" t="s">
        <v>247</v>
      </c>
      <c r="E258" s="93">
        <v>34662</v>
      </c>
      <c r="F258" s="94">
        <f t="shared" ca="1" si="12"/>
        <v>21</v>
      </c>
      <c r="G258" s="95"/>
      <c r="H258" s="96">
        <v>71710</v>
      </c>
      <c r="I258" s="97">
        <v>5</v>
      </c>
    </row>
    <row r="259" spans="1:9" ht="13.5" x14ac:dyDescent="0.25">
      <c r="A259" s="91" t="s">
        <v>465</v>
      </c>
      <c r="B259" s="92" t="s">
        <v>285</v>
      </c>
      <c r="C259" s="91" t="s">
        <v>465</v>
      </c>
      <c r="D259" s="91" t="s">
        <v>252</v>
      </c>
      <c r="E259" s="93">
        <v>34672</v>
      </c>
      <c r="F259" s="94">
        <f t="shared" ca="1" si="12"/>
        <v>21</v>
      </c>
      <c r="G259" s="95"/>
      <c r="H259" s="96">
        <v>8904</v>
      </c>
      <c r="I259" s="97">
        <v>3</v>
      </c>
    </row>
    <row r="260" spans="1:9" ht="13.5" x14ac:dyDescent="0.25">
      <c r="A260" s="91" t="s">
        <v>465</v>
      </c>
      <c r="B260" s="92" t="s">
        <v>271</v>
      </c>
      <c r="C260" s="91" t="s">
        <v>465</v>
      </c>
      <c r="D260" s="91" t="s">
        <v>247</v>
      </c>
      <c r="E260" s="93">
        <v>34682</v>
      </c>
      <c r="F260" s="94">
        <f t="shared" ca="1" si="12"/>
        <v>21</v>
      </c>
      <c r="G260" s="95"/>
      <c r="H260" s="96">
        <v>68260</v>
      </c>
      <c r="I260" s="97">
        <v>5</v>
      </c>
    </row>
    <row r="261" spans="1:9" ht="13.5" x14ac:dyDescent="0.25">
      <c r="A261" s="91" t="s">
        <v>465</v>
      </c>
      <c r="B261" s="92" t="s">
        <v>271</v>
      </c>
      <c r="C261" s="91" t="s">
        <v>465</v>
      </c>
      <c r="D261" s="91" t="s">
        <v>256</v>
      </c>
      <c r="E261" s="93">
        <v>34686</v>
      </c>
      <c r="F261" s="94">
        <f t="shared" ca="1" si="12"/>
        <v>21</v>
      </c>
      <c r="G261" s="95" t="s">
        <v>257</v>
      </c>
      <c r="H261" s="96">
        <v>40340</v>
      </c>
      <c r="I261" s="97">
        <v>2</v>
      </c>
    </row>
    <row r="262" spans="1:9" ht="13.5" x14ac:dyDescent="0.25">
      <c r="A262" s="91" t="s">
        <v>465</v>
      </c>
      <c r="B262" s="92" t="s">
        <v>285</v>
      </c>
      <c r="C262" s="91" t="s">
        <v>465</v>
      </c>
      <c r="D262" s="91" t="s">
        <v>247</v>
      </c>
      <c r="E262" s="93">
        <v>34687</v>
      </c>
      <c r="F262" s="94">
        <f t="shared" ca="1" si="12"/>
        <v>21</v>
      </c>
      <c r="G262" s="95"/>
      <c r="H262" s="96">
        <v>72520</v>
      </c>
      <c r="I262" s="97">
        <v>3</v>
      </c>
    </row>
    <row r="263" spans="1:9" ht="13.5" x14ac:dyDescent="0.25">
      <c r="A263" s="91" t="s">
        <v>465</v>
      </c>
      <c r="B263" s="92" t="s">
        <v>271</v>
      </c>
      <c r="C263" s="91" t="s">
        <v>465</v>
      </c>
      <c r="D263" s="91" t="s">
        <v>256</v>
      </c>
      <c r="E263" s="93">
        <v>34699</v>
      </c>
      <c r="F263" s="94">
        <f t="shared" ref="F263:F294" ca="1" si="13">DATEDIF(E263,TODAY(),"Y")</f>
        <v>21</v>
      </c>
      <c r="G263" s="95" t="s">
        <v>257</v>
      </c>
      <c r="H263" s="96">
        <v>75120</v>
      </c>
      <c r="I263" s="97">
        <v>5</v>
      </c>
    </row>
    <row r="264" spans="1:9" ht="13.5" x14ac:dyDescent="0.25">
      <c r="A264" s="91" t="s">
        <v>465</v>
      </c>
      <c r="B264" s="92" t="s">
        <v>280</v>
      </c>
      <c r="C264" s="91" t="s">
        <v>465</v>
      </c>
      <c r="D264" s="91" t="s">
        <v>247</v>
      </c>
      <c r="E264" s="93">
        <v>34701</v>
      </c>
      <c r="F264" s="94">
        <f t="shared" ca="1" si="13"/>
        <v>21</v>
      </c>
      <c r="G264" s="95"/>
      <c r="H264" s="96">
        <v>45050</v>
      </c>
      <c r="I264" s="97">
        <v>1</v>
      </c>
    </row>
    <row r="265" spans="1:9" ht="13.5" x14ac:dyDescent="0.25">
      <c r="A265" s="91" t="s">
        <v>465</v>
      </c>
      <c r="B265" s="92" t="s">
        <v>280</v>
      </c>
      <c r="C265" s="91" t="s">
        <v>465</v>
      </c>
      <c r="D265" s="91" t="s">
        <v>252</v>
      </c>
      <c r="E265" s="93">
        <v>34757</v>
      </c>
      <c r="F265" s="94">
        <f t="shared" ca="1" si="13"/>
        <v>21</v>
      </c>
      <c r="G265" s="95"/>
      <c r="H265" s="96">
        <v>37612</v>
      </c>
      <c r="I265" s="97">
        <v>4</v>
      </c>
    </row>
    <row r="266" spans="1:9" ht="13.5" x14ac:dyDescent="0.25">
      <c r="A266" s="91" t="s">
        <v>465</v>
      </c>
      <c r="B266" s="92" t="s">
        <v>280</v>
      </c>
      <c r="C266" s="91" t="s">
        <v>465</v>
      </c>
      <c r="D266" s="91" t="s">
        <v>252</v>
      </c>
      <c r="E266" s="93">
        <v>34757</v>
      </c>
      <c r="F266" s="94">
        <f t="shared" ca="1" si="13"/>
        <v>21</v>
      </c>
      <c r="G266" s="95"/>
      <c r="H266" s="96">
        <v>37612</v>
      </c>
      <c r="I266" s="97">
        <v>4</v>
      </c>
    </row>
    <row r="267" spans="1:9" ht="13.5" x14ac:dyDescent="0.25">
      <c r="A267" s="91" t="s">
        <v>465</v>
      </c>
      <c r="B267" s="92" t="s">
        <v>280</v>
      </c>
      <c r="C267" s="91" t="s">
        <v>465</v>
      </c>
      <c r="D267" s="91" t="s">
        <v>256</v>
      </c>
      <c r="E267" s="93">
        <v>34774</v>
      </c>
      <c r="F267" s="94">
        <f t="shared" ca="1" si="13"/>
        <v>21</v>
      </c>
      <c r="G267" s="95" t="s">
        <v>257</v>
      </c>
      <c r="H267" s="96">
        <v>33210</v>
      </c>
      <c r="I267" s="97">
        <v>4</v>
      </c>
    </row>
    <row r="268" spans="1:9" ht="13.5" x14ac:dyDescent="0.25">
      <c r="A268" s="91" t="s">
        <v>465</v>
      </c>
      <c r="B268" s="92" t="s">
        <v>271</v>
      </c>
      <c r="C268" s="91" t="s">
        <v>465</v>
      </c>
      <c r="D268" s="91" t="s">
        <v>256</v>
      </c>
      <c r="E268" s="93">
        <v>34791</v>
      </c>
      <c r="F268" s="94">
        <f t="shared" ca="1" si="13"/>
        <v>21</v>
      </c>
      <c r="G268" s="95" t="s">
        <v>257</v>
      </c>
      <c r="H268" s="96">
        <v>88240</v>
      </c>
      <c r="I268" s="97">
        <v>5</v>
      </c>
    </row>
    <row r="269" spans="1:9" ht="13.5" x14ac:dyDescent="0.25">
      <c r="A269" s="91" t="s">
        <v>465</v>
      </c>
      <c r="B269" s="92" t="s">
        <v>245</v>
      </c>
      <c r="C269" s="91" t="s">
        <v>465</v>
      </c>
      <c r="D269" s="91" t="s">
        <v>256</v>
      </c>
      <c r="E269" s="93">
        <v>34812</v>
      </c>
      <c r="F269" s="94">
        <f t="shared" ca="1" si="13"/>
        <v>21</v>
      </c>
      <c r="G269" s="95" t="s">
        <v>262</v>
      </c>
      <c r="H269" s="96">
        <v>22660</v>
      </c>
      <c r="I269" s="97">
        <v>2</v>
      </c>
    </row>
    <row r="270" spans="1:9" ht="13.5" x14ac:dyDescent="0.25">
      <c r="A270" s="91" t="s">
        <v>465</v>
      </c>
      <c r="B270" s="92" t="s">
        <v>271</v>
      </c>
      <c r="C270" s="91" t="s">
        <v>465</v>
      </c>
      <c r="D270" s="91" t="s">
        <v>261</v>
      </c>
      <c r="E270" s="93">
        <v>34867</v>
      </c>
      <c r="F270" s="94">
        <f t="shared" ca="1" si="13"/>
        <v>21</v>
      </c>
      <c r="G270" s="95" t="s">
        <v>267</v>
      </c>
      <c r="H270" s="96">
        <v>21670</v>
      </c>
      <c r="I270" s="97">
        <v>2</v>
      </c>
    </row>
    <row r="271" spans="1:9" ht="13.5" x14ac:dyDescent="0.25">
      <c r="A271" s="91" t="s">
        <v>465</v>
      </c>
      <c r="B271" s="92" t="s">
        <v>251</v>
      </c>
      <c r="C271" s="91" t="s">
        <v>465</v>
      </c>
      <c r="D271" s="91" t="s">
        <v>256</v>
      </c>
      <c r="E271" s="93">
        <v>34888</v>
      </c>
      <c r="F271" s="94">
        <f t="shared" ca="1" si="13"/>
        <v>21</v>
      </c>
      <c r="G271" s="95" t="s">
        <v>276</v>
      </c>
      <c r="H271" s="96">
        <v>81400</v>
      </c>
      <c r="I271" s="97">
        <v>2</v>
      </c>
    </row>
    <row r="272" spans="1:9" ht="13.5" x14ac:dyDescent="0.25">
      <c r="A272" s="91" t="s">
        <v>465</v>
      </c>
      <c r="B272" s="92" t="s">
        <v>271</v>
      </c>
      <c r="C272" s="91" t="s">
        <v>465</v>
      </c>
      <c r="D272" s="91" t="s">
        <v>261</v>
      </c>
      <c r="E272" s="93">
        <v>34959</v>
      </c>
      <c r="F272" s="94">
        <f t="shared" ca="1" si="13"/>
        <v>21</v>
      </c>
      <c r="G272" s="95" t="s">
        <v>283</v>
      </c>
      <c r="H272" s="96">
        <v>48190</v>
      </c>
      <c r="I272" s="97">
        <v>1</v>
      </c>
    </row>
    <row r="273" spans="1:9" ht="13.5" x14ac:dyDescent="0.25">
      <c r="A273" s="91" t="s">
        <v>465</v>
      </c>
      <c r="B273" s="92" t="s">
        <v>271</v>
      </c>
      <c r="C273" s="91" t="s">
        <v>465</v>
      </c>
      <c r="D273" s="91" t="s">
        <v>261</v>
      </c>
      <c r="E273" s="93">
        <v>34959</v>
      </c>
      <c r="F273" s="94">
        <f t="shared" ca="1" si="13"/>
        <v>21</v>
      </c>
      <c r="G273" s="95" t="s">
        <v>283</v>
      </c>
      <c r="H273" s="96">
        <v>48190</v>
      </c>
      <c r="I273" s="97">
        <v>1</v>
      </c>
    </row>
    <row r="274" spans="1:9" ht="13.5" x14ac:dyDescent="0.25">
      <c r="A274" s="91" t="s">
        <v>465</v>
      </c>
      <c r="B274" s="92" t="s">
        <v>271</v>
      </c>
      <c r="C274" s="91" t="s">
        <v>465</v>
      </c>
      <c r="D274" s="91" t="s">
        <v>256</v>
      </c>
      <c r="E274" s="93">
        <v>34963</v>
      </c>
      <c r="F274" s="94">
        <f t="shared" ca="1" si="13"/>
        <v>21</v>
      </c>
      <c r="G274" s="95" t="s">
        <v>283</v>
      </c>
      <c r="H274" s="96">
        <v>61330</v>
      </c>
      <c r="I274" s="97">
        <v>4</v>
      </c>
    </row>
    <row r="275" spans="1:9" ht="13.5" x14ac:dyDescent="0.25">
      <c r="A275" s="91" t="s">
        <v>465</v>
      </c>
      <c r="B275" s="92" t="s">
        <v>280</v>
      </c>
      <c r="C275" s="91" t="s">
        <v>465</v>
      </c>
      <c r="D275" s="91" t="s">
        <v>247</v>
      </c>
      <c r="E275" s="93">
        <v>34973</v>
      </c>
      <c r="F275" s="94">
        <f t="shared" ca="1" si="13"/>
        <v>21</v>
      </c>
      <c r="G275" s="95"/>
      <c r="H275" s="96">
        <v>25130</v>
      </c>
      <c r="I275" s="97">
        <v>5</v>
      </c>
    </row>
    <row r="276" spans="1:9" ht="13.5" x14ac:dyDescent="0.25">
      <c r="A276" s="91" t="s">
        <v>465</v>
      </c>
      <c r="B276" s="92" t="s">
        <v>271</v>
      </c>
      <c r="C276" s="91" t="s">
        <v>465</v>
      </c>
      <c r="D276" s="91" t="s">
        <v>252</v>
      </c>
      <c r="E276" s="93">
        <v>34995</v>
      </c>
      <c r="F276" s="94">
        <f t="shared" ca="1" si="13"/>
        <v>21</v>
      </c>
      <c r="G276" s="95"/>
      <c r="H276" s="96">
        <v>9424</v>
      </c>
      <c r="I276" s="97">
        <v>4</v>
      </c>
    </row>
    <row r="277" spans="1:9" ht="13.5" x14ac:dyDescent="0.25">
      <c r="A277" s="91" t="s">
        <v>465</v>
      </c>
      <c r="B277" s="92" t="s">
        <v>285</v>
      </c>
      <c r="C277" s="91" t="s">
        <v>465</v>
      </c>
      <c r="D277" s="91" t="s">
        <v>256</v>
      </c>
      <c r="E277" s="93">
        <v>35008</v>
      </c>
      <c r="F277" s="94">
        <f t="shared" ca="1" si="13"/>
        <v>21</v>
      </c>
      <c r="G277" s="95" t="s">
        <v>283</v>
      </c>
      <c r="H277" s="96">
        <v>68750</v>
      </c>
      <c r="I277" s="97">
        <v>1</v>
      </c>
    </row>
    <row r="278" spans="1:9" ht="13.5" x14ac:dyDescent="0.25">
      <c r="A278" s="91" t="s">
        <v>465</v>
      </c>
      <c r="B278" s="92" t="s">
        <v>285</v>
      </c>
      <c r="C278" s="91" t="s">
        <v>465</v>
      </c>
      <c r="D278" s="91" t="s">
        <v>256</v>
      </c>
      <c r="E278" s="93">
        <v>35022</v>
      </c>
      <c r="F278" s="94">
        <f t="shared" ca="1" si="13"/>
        <v>20</v>
      </c>
      <c r="G278" s="95" t="s">
        <v>267</v>
      </c>
      <c r="H278" s="96">
        <v>37760</v>
      </c>
      <c r="I278" s="97">
        <v>2</v>
      </c>
    </row>
    <row r="279" spans="1:9" ht="13.5" x14ac:dyDescent="0.25">
      <c r="A279" s="91" t="s">
        <v>465</v>
      </c>
      <c r="B279" s="92" t="s">
        <v>266</v>
      </c>
      <c r="C279" s="91" t="s">
        <v>465</v>
      </c>
      <c r="D279" s="91" t="s">
        <v>247</v>
      </c>
      <c r="E279" s="93">
        <v>35040</v>
      </c>
      <c r="F279" s="94">
        <f t="shared" ca="1" si="13"/>
        <v>20</v>
      </c>
      <c r="G279" s="95"/>
      <c r="H279" s="96">
        <v>27380</v>
      </c>
      <c r="I279" s="97">
        <v>3</v>
      </c>
    </row>
    <row r="280" spans="1:9" ht="13.5" x14ac:dyDescent="0.25">
      <c r="A280" s="91" t="s">
        <v>465</v>
      </c>
      <c r="B280" s="92" t="s">
        <v>285</v>
      </c>
      <c r="C280" s="91" t="s">
        <v>465</v>
      </c>
      <c r="D280" s="91" t="s">
        <v>261</v>
      </c>
      <c r="E280" s="93">
        <v>35050</v>
      </c>
      <c r="F280" s="94">
        <f t="shared" ca="1" si="13"/>
        <v>20</v>
      </c>
      <c r="G280" s="95" t="s">
        <v>283</v>
      </c>
      <c r="H280" s="96">
        <v>11065</v>
      </c>
      <c r="I280" s="97">
        <v>1</v>
      </c>
    </row>
    <row r="281" spans="1:9" ht="13.5" x14ac:dyDescent="0.25">
      <c r="A281" s="91" t="s">
        <v>465</v>
      </c>
      <c r="B281" s="92" t="s">
        <v>280</v>
      </c>
      <c r="C281" s="91" t="s">
        <v>465</v>
      </c>
      <c r="D281" s="91" t="s">
        <v>256</v>
      </c>
      <c r="E281" s="93">
        <v>35103</v>
      </c>
      <c r="F281" s="94">
        <f t="shared" ca="1" si="13"/>
        <v>20</v>
      </c>
      <c r="G281" s="95" t="s">
        <v>257</v>
      </c>
      <c r="H281" s="96">
        <v>40060</v>
      </c>
      <c r="I281" s="97">
        <v>3</v>
      </c>
    </row>
    <row r="282" spans="1:9" ht="13.5" x14ac:dyDescent="0.25">
      <c r="A282" s="91" t="s">
        <v>465</v>
      </c>
      <c r="B282" s="92" t="s">
        <v>285</v>
      </c>
      <c r="C282" s="91" t="s">
        <v>465</v>
      </c>
      <c r="D282" s="91" t="s">
        <v>261</v>
      </c>
      <c r="E282" s="93">
        <v>35112</v>
      </c>
      <c r="F282" s="94">
        <f t="shared" ca="1" si="13"/>
        <v>20</v>
      </c>
      <c r="G282" s="95" t="s">
        <v>283</v>
      </c>
      <c r="H282" s="96">
        <v>17270</v>
      </c>
      <c r="I282" s="97">
        <v>5</v>
      </c>
    </row>
    <row r="283" spans="1:9" ht="13.5" x14ac:dyDescent="0.25">
      <c r="A283" s="91" t="s">
        <v>465</v>
      </c>
      <c r="B283" s="92" t="s">
        <v>285</v>
      </c>
      <c r="C283" s="91" t="s">
        <v>465</v>
      </c>
      <c r="D283" s="91" t="s">
        <v>256</v>
      </c>
      <c r="E283" s="93">
        <v>35121</v>
      </c>
      <c r="F283" s="94">
        <f t="shared" ca="1" si="13"/>
        <v>20</v>
      </c>
      <c r="G283" s="95" t="s">
        <v>257</v>
      </c>
      <c r="H283" s="96">
        <v>35820</v>
      </c>
      <c r="I283" s="97">
        <v>2</v>
      </c>
    </row>
    <row r="284" spans="1:9" ht="13.5" x14ac:dyDescent="0.25">
      <c r="A284" s="91" t="s">
        <v>465</v>
      </c>
      <c r="B284" s="92" t="s">
        <v>245</v>
      </c>
      <c r="C284" s="91" t="s">
        <v>465</v>
      </c>
      <c r="D284" s="91" t="s">
        <v>256</v>
      </c>
      <c r="E284" s="93">
        <v>35134</v>
      </c>
      <c r="F284" s="94">
        <f t="shared" ca="1" si="13"/>
        <v>20</v>
      </c>
      <c r="G284" s="95" t="s">
        <v>257</v>
      </c>
      <c r="H284" s="96">
        <v>67280</v>
      </c>
      <c r="I284" s="97">
        <v>3</v>
      </c>
    </row>
    <row r="285" spans="1:9" ht="13.5" x14ac:dyDescent="0.25">
      <c r="A285" s="91" t="s">
        <v>465</v>
      </c>
      <c r="B285" s="92" t="s">
        <v>271</v>
      </c>
      <c r="C285" s="91" t="s">
        <v>465</v>
      </c>
      <c r="D285" s="91" t="s">
        <v>247</v>
      </c>
      <c r="E285" s="93">
        <v>35145</v>
      </c>
      <c r="F285" s="94">
        <f t="shared" ca="1" si="13"/>
        <v>20</v>
      </c>
      <c r="G285" s="95"/>
      <c r="H285" s="96">
        <v>23810</v>
      </c>
      <c r="I285" s="97">
        <v>4</v>
      </c>
    </row>
    <row r="286" spans="1:9" ht="13.5" x14ac:dyDescent="0.25">
      <c r="A286" s="91" t="s">
        <v>465</v>
      </c>
      <c r="B286" s="92" t="s">
        <v>271</v>
      </c>
      <c r="C286" s="91" t="s">
        <v>465</v>
      </c>
      <c r="D286" s="91" t="s">
        <v>261</v>
      </c>
      <c r="E286" s="93">
        <v>35193</v>
      </c>
      <c r="F286" s="94">
        <f t="shared" ca="1" si="13"/>
        <v>20</v>
      </c>
      <c r="G286" s="95" t="s">
        <v>267</v>
      </c>
      <c r="H286" s="96">
        <v>41615</v>
      </c>
      <c r="I286" s="97">
        <v>1</v>
      </c>
    </row>
    <row r="287" spans="1:9" ht="13.5" x14ac:dyDescent="0.25">
      <c r="A287" s="91" t="s">
        <v>465</v>
      </c>
      <c r="B287" s="92" t="s">
        <v>271</v>
      </c>
      <c r="C287" s="91" t="s">
        <v>465</v>
      </c>
      <c r="D287" s="91" t="s">
        <v>256</v>
      </c>
      <c r="E287" s="93">
        <v>35225</v>
      </c>
      <c r="F287" s="94">
        <f t="shared" ca="1" si="13"/>
        <v>20</v>
      </c>
      <c r="G287" s="95" t="s">
        <v>257</v>
      </c>
      <c r="H287" s="96">
        <v>76192</v>
      </c>
      <c r="I287" s="97">
        <v>4</v>
      </c>
    </row>
    <row r="288" spans="1:9" ht="13.5" x14ac:dyDescent="0.25">
      <c r="A288" s="91" t="s">
        <v>465</v>
      </c>
      <c r="B288" s="92" t="s">
        <v>280</v>
      </c>
      <c r="C288" s="91" t="s">
        <v>465</v>
      </c>
      <c r="D288" s="91" t="s">
        <v>247</v>
      </c>
      <c r="E288" s="93">
        <v>35290</v>
      </c>
      <c r="F288" s="94">
        <f t="shared" ca="1" si="13"/>
        <v>20</v>
      </c>
      <c r="G288" s="95"/>
      <c r="H288" s="96">
        <v>41840</v>
      </c>
      <c r="I288" s="97">
        <v>2</v>
      </c>
    </row>
    <row r="289" spans="1:9" ht="13.5" x14ac:dyDescent="0.25">
      <c r="A289" s="91" t="s">
        <v>465</v>
      </c>
      <c r="B289" s="92" t="s">
        <v>285</v>
      </c>
      <c r="C289" s="91" t="s">
        <v>465</v>
      </c>
      <c r="D289" s="91" t="s">
        <v>261</v>
      </c>
      <c r="E289" s="93">
        <v>35294</v>
      </c>
      <c r="F289" s="94">
        <f t="shared" ca="1" si="13"/>
        <v>20</v>
      </c>
      <c r="G289" s="95" t="s">
        <v>283</v>
      </c>
      <c r="H289" s="96">
        <v>46710</v>
      </c>
      <c r="I289" s="97">
        <v>3</v>
      </c>
    </row>
    <row r="290" spans="1:9" ht="13.5" x14ac:dyDescent="0.25">
      <c r="A290" s="91" t="s">
        <v>465</v>
      </c>
      <c r="B290" s="92" t="s">
        <v>271</v>
      </c>
      <c r="C290" s="91" t="s">
        <v>465</v>
      </c>
      <c r="D290" s="91" t="s">
        <v>247</v>
      </c>
      <c r="E290" s="93">
        <v>35327</v>
      </c>
      <c r="F290" s="94">
        <f t="shared" ca="1" si="13"/>
        <v>20</v>
      </c>
      <c r="G290" s="95"/>
      <c r="H290" s="96">
        <v>57600</v>
      </c>
      <c r="I290" s="97">
        <v>3</v>
      </c>
    </row>
    <row r="291" spans="1:9" ht="13.5" x14ac:dyDescent="0.25">
      <c r="A291" s="91" t="s">
        <v>465</v>
      </c>
      <c r="B291" s="92" t="s">
        <v>245</v>
      </c>
      <c r="C291" s="91" t="s">
        <v>465</v>
      </c>
      <c r="D291" s="91" t="s">
        <v>256</v>
      </c>
      <c r="E291" s="93">
        <v>35388</v>
      </c>
      <c r="F291" s="94">
        <f t="shared" ca="1" si="13"/>
        <v>19</v>
      </c>
      <c r="G291" s="95" t="s">
        <v>267</v>
      </c>
      <c r="H291" s="96">
        <v>23650</v>
      </c>
      <c r="I291" s="97">
        <v>1</v>
      </c>
    </row>
    <row r="292" spans="1:9" ht="13.5" x14ac:dyDescent="0.25">
      <c r="A292" s="91" t="s">
        <v>465</v>
      </c>
      <c r="B292" s="92" t="s">
        <v>280</v>
      </c>
      <c r="C292" s="91" t="s">
        <v>465</v>
      </c>
      <c r="D292" s="91" t="s">
        <v>247</v>
      </c>
      <c r="E292" s="93">
        <v>35394</v>
      </c>
      <c r="F292" s="94">
        <f t="shared" ca="1" si="13"/>
        <v>19</v>
      </c>
      <c r="G292" s="95"/>
      <c r="H292" s="96">
        <v>57760</v>
      </c>
      <c r="I292" s="97">
        <v>3</v>
      </c>
    </row>
    <row r="293" spans="1:9" ht="13.5" x14ac:dyDescent="0.25">
      <c r="A293" s="91" t="s">
        <v>465</v>
      </c>
      <c r="B293" s="92" t="s">
        <v>285</v>
      </c>
      <c r="C293" s="91" t="s">
        <v>465</v>
      </c>
      <c r="D293" s="91" t="s">
        <v>256</v>
      </c>
      <c r="E293" s="93">
        <v>35397</v>
      </c>
      <c r="F293" s="94">
        <f t="shared" ca="1" si="13"/>
        <v>19</v>
      </c>
      <c r="G293" s="95" t="s">
        <v>276</v>
      </c>
      <c r="H293" s="96">
        <v>38870</v>
      </c>
      <c r="I293" s="97">
        <v>2</v>
      </c>
    </row>
    <row r="294" spans="1:9" ht="13.5" x14ac:dyDescent="0.25">
      <c r="A294" s="91" t="s">
        <v>465</v>
      </c>
      <c r="B294" s="92" t="s">
        <v>285</v>
      </c>
      <c r="C294" s="91" t="s">
        <v>465</v>
      </c>
      <c r="D294" s="91" t="s">
        <v>247</v>
      </c>
      <c r="E294" s="93">
        <v>35408</v>
      </c>
      <c r="F294" s="94">
        <f t="shared" ca="1" si="13"/>
        <v>19</v>
      </c>
      <c r="G294" s="95"/>
      <c r="H294" s="96">
        <v>89520</v>
      </c>
      <c r="I294" s="97">
        <v>5</v>
      </c>
    </row>
    <row r="295" spans="1:9" ht="13.5" x14ac:dyDescent="0.25">
      <c r="A295" s="91" t="s">
        <v>465</v>
      </c>
      <c r="B295" s="92" t="s">
        <v>285</v>
      </c>
      <c r="C295" s="91" t="s">
        <v>465</v>
      </c>
      <c r="D295" s="91" t="s">
        <v>247</v>
      </c>
      <c r="E295" s="93">
        <v>35419</v>
      </c>
      <c r="F295" s="94">
        <f t="shared" ref="F295:F326" ca="1" si="14">DATEDIF(E295,TODAY(),"Y")</f>
        <v>19</v>
      </c>
      <c r="G295" s="95"/>
      <c r="H295" s="96">
        <v>45420</v>
      </c>
      <c r="I295" s="97">
        <v>1</v>
      </c>
    </row>
    <row r="296" spans="1:9" ht="13.5" x14ac:dyDescent="0.25">
      <c r="A296" s="91" t="s">
        <v>465</v>
      </c>
      <c r="B296" s="92" t="s">
        <v>285</v>
      </c>
      <c r="C296" s="91" t="s">
        <v>465</v>
      </c>
      <c r="D296" s="91" t="s">
        <v>247</v>
      </c>
      <c r="E296" s="93">
        <v>35667</v>
      </c>
      <c r="F296" s="94">
        <f t="shared" ca="1" si="14"/>
        <v>19</v>
      </c>
      <c r="G296" s="95"/>
      <c r="H296" s="96">
        <v>68510</v>
      </c>
      <c r="I296" s="97">
        <v>5</v>
      </c>
    </row>
    <row r="297" spans="1:9" ht="13.5" x14ac:dyDescent="0.25">
      <c r="A297" s="91" t="s">
        <v>465</v>
      </c>
      <c r="B297" s="92" t="s">
        <v>285</v>
      </c>
      <c r="C297" s="91" t="s">
        <v>465</v>
      </c>
      <c r="D297" s="91" t="s">
        <v>256</v>
      </c>
      <c r="E297" s="93">
        <v>35758</v>
      </c>
      <c r="F297" s="94">
        <f t="shared" ca="1" si="14"/>
        <v>18</v>
      </c>
      <c r="G297" s="95" t="s">
        <v>262</v>
      </c>
      <c r="H297" s="96">
        <v>66010</v>
      </c>
      <c r="I297" s="97">
        <v>5</v>
      </c>
    </row>
    <row r="298" spans="1:9" ht="13.5" x14ac:dyDescent="0.25">
      <c r="A298" s="91" t="s">
        <v>465</v>
      </c>
      <c r="B298" s="92" t="s">
        <v>280</v>
      </c>
      <c r="C298" s="91" t="s">
        <v>465</v>
      </c>
      <c r="D298" s="91" t="s">
        <v>256</v>
      </c>
      <c r="E298" s="93">
        <v>35919</v>
      </c>
      <c r="F298" s="94">
        <f t="shared" ca="1" si="14"/>
        <v>18</v>
      </c>
      <c r="G298" s="95" t="s">
        <v>283</v>
      </c>
      <c r="H298" s="96">
        <v>25310</v>
      </c>
      <c r="I298" s="97">
        <v>4</v>
      </c>
    </row>
    <row r="299" spans="1:9" ht="13.5" x14ac:dyDescent="0.25">
      <c r="A299" s="91" t="s">
        <v>465</v>
      </c>
      <c r="B299" s="92" t="s">
        <v>251</v>
      </c>
      <c r="C299" s="91" t="s">
        <v>465</v>
      </c>
      <c r="D299" s="91" t="s">
        <v>247</v>
      </c>
      <c r="E299" s="93">
        <v>36016</v>
      </c>
      <c r="F299" s="94">
        <f t="shared" ca="1" si="14"/>
        <v>18</v>
      </c>
      <c r="G299" s="95"/>
      <c r="H299" s="96">
        <v>52770</v>
      </c>
      <c r="I299" s="97">
        <v>2</v>
      </c>
    </row>
    <row r="300" spans="1:9" ht="13.5" x14ac:dyDescent="0.25">
      <c r="A300" s="91" t="s">
        <v>465</v>
      </c>
      <c r="B300" s="92" t="s">
        <v>271</v>
      </c>
      <c r="C300" s="91" t="s">
        <v>465</v>
      </c>
      <c r="D300" s="91" t="s">
        <v>256</v>
      </c>
      <c r="E300" s="93">
        <v>36021</v>
      </c>
      <c r="F300" s="94">
        <f t="shared" ca="1" si="14"/>
        <v>18</v>
      </c>
      <c r="G300" s="95" t="s">
        <v>283</v>
      </c>
      <c r="H300" s="96">
        <v>62750</v>
      </c>
      <c r="I300" s="97">
        <v>3</v>
      </c>
    </row>
    <row r="301" spans="1:9" ht="13.5" x14ac:dyDescent="0.25">
      <c r="A301" s="91" t="s">
        <v>465</v>
      </c>
      <c r="B301" s="92" t="s">
        <v>285</v>
      </c>
      <c r="C301" s="91" t="s">
        <v>465</v>
      </c>
      <c r="D301" s="91" t="s">
        <v>256</v>
      </c>
      <c r="E301" s="93">
        <v>36084</v>
      </c>
      <c r="F301" s="94">
        <f t="shared" ca="1" si="14"/>
        <v>18</v>
      </c>
      <c r="G301" s="95" t="s">
        <v>257</v>
      </c>
      <c r="H301" s="96">
        <v>28970</v>
      </c>
      <c r="I301" s="97">
        <v>3</v>
      </c>
    </row>
    <row r="302" spans="1:9" ht="13.5" x14ac:dyDescent="0.25">
      <c r="A302" s="91" t="s">
        <v>465</v>
      </c>
      <c r="B302" s="92" t="s">
        <v>271</v>
      </c>
      <c r="C302" s="91" t="s">
        <v>465</v>
      </c>
      <c r="D302" s="91" t="s">
        <v>256</v>
      </c>
      <c r="E302" s="93">
        <v>36126</v>
      </c>
      <c r="F302" s="94">
        <f t="shared" ca="1" si="14"/>
        <v>17</v>
      </c>
      <c r="G302" s="95" t="s">
        <v>267</v>
      </c>
      <c r="H302" s="96">
        <v>64130</v>
      </c>
      <c r="I302" s="97">
        <v>1</v>
      </c>
    </row>
    <row r="303" spans="1:9" ht="13.5" x14ac:dyDescent="0.25">
      <c r="A303" s="91" t="s">
        <v>465</v>
      </c>
      <c r="B303" s="92" t="s">
        <v>271</v>
      </c>
      <c r="C303" s="91" t="s">
        <v>465</v>
      </c>
      <c r="D303" s="91" t="s">
        <v>256</v>
      </c>
      <c r="E303" s="93">
        <v>36199</v>
      </c>
      <c r="F303" s="94">
        <f t="shared" ca="1" si="14"/>
        <v>17</v>
      </c>
      <c r="G303" s="95" t="s">
        <v>283</v>
      </c>
      <c r="H303" s="96">
        <v>69080</v>
      </c>
      <c r="I303" s="97">
        <v>3</v>
      </c>
    </row>
    <row r="304" spans="1:9" ht="13.5" x14ac:dyDescent="0.25">
      <c r="A304" s="91" t="s">
        <v>465</v>
      </c>
      <c r="B304" s="92" t="s">
        <v>245</v>
      </c>
      <c r="C304" s="91" t="s">
        <v>465</v>
      </c>
      <c r="D304" s="91" t="s">
        <v>261</v>
      </c>
      <c r="E304" s="93">
        <v>36310</v>
      </c>
      <c r="F304" s="94">
        <f t="shared" ca="1" si="14"/>
        <v>17</v>
      </c>
      <c r="G304" s="95" t="s">
        <v>257</v>
      </c>
      <c r="H304" s="96">
        <v>24460</v>
      </c>
      <c r="I304" s="97">
        <v>1</v>
      </c>
    </row>
    <row r="305" spans="1:9" ht="13.5" x14ac:dyDescent="0.25">
      <c r="A305" s="91" t="s">
        <v>465</v>
      </c>
      <c r="B305" s="92" t="s">
        <v>285</v>
      </c>
      <c r="C305" s="91" t="s">
        <v>465</v>
      </c>
      <c r="D305" s="91" t="s">
        <v>247</v>
      </c>
      <c r="E305" s="93">
        <v>36324</v>
      </c>
      <c r="F305" s="94">
        <f t="shared" ca="1" si="14"/>
        <v>17</v>
      </c>
      <c r="G305" s="95"/>
      <c r="H305" s="96">
        <v>61370</v>
      </c>
      <c r="I305" s="97">
        <v>3</v>
      </c>
    </row>
    <row r="306" spans="1:9" ht="13.5" x14ac:dyDescent="0.25">
      <c r="A306" s="91" t="s">
        <v>465</v>
      </c>
      <c r="B306" s="92" t="s">
        <v>285</v>
      </c>
      <c r="C306" s="91" t="s">
        <v>465</v>
      </c>
      <c r="D306" s="91" t="s">
        <v>252</v>
      </c>
      <c r="E306" s="93">
        <v>36420</v>
      </c>
      <c r="F306" s="94">
        <f t="shared" ca="1" si="14"/>
        <v>17</v>
      </c>
      <c r="G306" s="95"/>
      <c r="H306" s="96">
        <v>8892</v>
      </c>
      <c r="I306" s="97">
        <v>1</v>
      </c>
    </row>
    <row r="307" spans="1:9" ht="13.5" x14ac:dyDescent="0.25">
      <c r="A307" s="91" t="s">
        <v>465</v>
      </c>
      <c r="B307" s="92" t="s">
        <v>266</v>
      </c>
      <c r="C307" s="91" t="s">
        <v>465</v>
      </c>
      <c r="D307" s="91" t="s">
        <v>247</v>
      </c>
      <c r="E307" s="93">
        <v>36510</v>
      </c>
      <c r="F307" s="94">
        <f t="shared" ca="1" si="14"/>
        <v>16</v>
      </c>
      <c r="G307" s="95"/>
      <c r="H307" s="96">
        <v>75420</v>
      </c>
      <c r="I307" s="97">
        <v>1</v>
      </c>
    </row>
    <row r="308" spans="1:9" ht="13.5" x14ac:dyDescent="0.25">
      <c r="A308" s="91" t="s">
        <v>465</v>
      </c>
      <c r="B308" s="92" t="s">
        <v>285</v>
      </c>
      <c r="C308" s="91" t="s">
        <v>465</v>
      </c>
      <c r="D308" s="91" t="s">
        <v>256</v>
      </c>
      <c r="E308" s="93">
        <v>36556</v>
      </c>
      <c r="F308" s="94">
        <f t="shared" ca="1" si="14"/>
        <v>16</v>
      </c>
      <c r="G308" s="95" t="s">
        <v>262</v>
      </c>
      <c r="H308" s="96">
        <v>54230</v>
      </c>
      <c r="I308" s="97">
        <v>5</v>
      </c>
    </row>
    <row r="309" spans="1:9" ht="13.5" x14ac:dyDescent="0.25">
      <c r="A309" s="91" t="s">
        <v>465</v>
      </c>
      <c r="B309" s="92" t="s">
        <v>266</v>
      </c>
      <c r="C309" s="91" t="s">
        <v>465</v>
      </c>
      <c r="D309" s="91" t="s">
        <v>247</v>
      </c>
      <c r="E309" s="93">
        <v>36589</v>
      </c>
      <c r="F309" s="94">
        <f t="shared" ca="1" si="14"/>
        <v>16</v>
      </c>
      <c r="G309" s="95"/>
      <c r="H309" s="96">
        <v>64220</v>
      </c>
      <c r="I309" s="97">
        <v>5</v>
      </c>
    </row>
    <row r="310" spans="1:9" ht="13.5" x14ac:dyDescent="0.25">
      <c r="A310" s="91" t="s">
        <v>465</v>
      </c>
      <c r="B310" s="92" t="s">
        <v>266</v>
      </c>
      <c r="C310" s="91" t="s">
        <v>465</v>
      </c>
      <c r="D310" s="91" t="s">
        <v>256</v>
      </c>
      <c r="E310" s="93">
        <v>36626</v>
      </c>
      <c r="F310" s="94">
        <f t="shared" ca="1" si="14"/>
        <v>16</v>
      </c>
      <c r="G310" s="95" t="s">
        <v>283</v>
      </c>
      <c r="H310" s="96">
        <v>30920</v>
      </c>
      <c r="I310" s="97">
        <v>5</v>
      </c>
    </row>
    <row r="311" spans="1:9" ht="13.5" x14ac:dyDescent="0.25">
      <c r="A311" s="91" t="s">
        <v>465</v>
      </c>
      <c r="B311" s="92" t="s">
        <v>271</v>
      </c>
      <c r="C311" s="91" t="s">
        <v>465</v>
      </c>
      <c r="D311" s="91" t="s">
        <v>256</v>
      </c>
      <c r="E311" s="93">
        <v>36633</v>
      </c>
      <c r="F311" s="94">
        <f t="shared" ca="1" si="14"/>
        <v>16</v>
      </c>
      <c r="G311" s="95" t="s">
        <v>257</v>
      </c>
      <c r="H311" s="96">
        <v>75176</v>
      </c>
      <c r="I311" s="97">
        <v>3</v>
      </c>
    </row>
    <row r="312" spans="1:9" ht="13.5" x14ac:dyDescent="0.25">
      <c r="A312" s="91" t="s">
        <v>465</v>
      </c>
      <c r="B312" s="92" t="s">
        <v>285</v>
      </c>
      <c r="C312" s="91" t="s">
        <v>465</v>
      </c>
      <c r="D312" s="91" t="s">
        <v>247</v>
      </c>
      <c r="E312" s="93">
        <v>36734</v>
      </c>
      <c r="F312" s="94">
        <f t="shared" ca="1" si="14"/>
        <v>16</v>
      </c>
      <c r="G312" s="95"/>
      <c r="H312" s="96">
        <v>57410</v>
      </c>
      <c r="I312" s="97">
        <v>2</v>
      </c>
    </row>
    <row r="313" spans="1:9" ht="13.5" x14ac:dyDescent="0.25">
      <c r="A313" s="91" t="s">
        <v>465</v>
      </c>
      <c r="B313" s="92" t="s">
        <v>285</v>
      </c>
      <c r="C313" s="91" t="s">
        <v>465</v>
      </c>
      <c r="D313" s="91" t="s">
        <v>247</v>
      </c>
      <c r="E313" s="93">
        <v>36763</v>
      </c>
      <c r="F313" s="94">
        <f t="shared" ca="1" si="14"/>
        <v>16</v>
      </c>
      <c r="G313" s="95"/>
      <c r="H313" s="96">
        <v>39300</v>
      </c>
      <c r="I313" s="97">
        <v>2</v>
      </c>
    </row>
    <row r="314" spans="1:9" ht="13.5" x14ac:dyDescent="0.25">
      <c r="A314" s="91" t="s">
        <v>465</v>
      </c>
      <c r="B314" s="92" t="s">
        <v>245</v>
      </c>
      <c r="C314" s="91" t="s">
        <v>465</v>
      </c>
      <c r="D314" s="91" t="s">
        <v>256</v>
      </c>
      <c r="E314" s="93">
        <v>36836</v>
      </c>
      <c r="F314" s="94">
        <f t="shared" ca="1" si="14"/>
        <v>16</v>
      </c>
      <c r="G314" s="95" t="s">
        <v>257</v>
      </c>
      <c r="H314" s="96">
        <v>47340</v>
      </c>
      <c r="I314" s="97">
        <v>2</v>
      </c>
    </row>
    <row r="315" spans="1:9" ht="13.5" x14ac:dyDescent="0.25">
      <c r="A315" s="91" t="s">
        <v>465</v>
      </c>
      <c r="B315" s="92" t="s">
        <v>245</v>
      </c>
      <c r="C315" s="91" t="s">
        <v>465</v>
      </c>
      <c r="D315" s="91" t="s">
        <v>247</v>
      </c>
      <c r="E315" s="93">
        <v>36979</v>
      </c>
      <c r="F315" s="94">
        <f t="shared" ca="1" si="14"/>
        <v>15</v>
      </c>
      <c r="G315" s="95"/>
      <c r="H315" s="96">
        <v>71830</v>
      </c>
      <c r="I315" s="97">
        <v>3</v>
      </c>
    </row>
    <row r="316" spans="1:9" ht="13.5" x14ac:dyDescent="0.25">
      <c r="A316" s="91" t="s">
        <v>465</v>
      </c>
      <c r="B316" s="92" t="s">
        <v>285</v>
      </c>
      <c r="C316" s="91" t="s">
        <v>465</v>
      </c>
      <c r="D316" s="91" t="s">
        <v>247</v>
      </c>
      <c r="E316" s="93">
        <v>37011</v>
      </c>
      <c r="F316" s="94">
        <f t="shared" ca="1" si="14"/>
        <v>15</v>
      </c>
      <c r="G316" s="95"/>
      <c r="H316" s="96">
        <v>37980</v>
      </c>
      <c r="I316" s="97">
        <v>4</v>
      </c>
    </row>
    <row r="317" spans="1:9" ht="13.5" x14ac:dyDescent="0.25">
      <c r="A317" s="91" t="s">
        <v>465</v>
      </c>
      <c r="B317" s="92" t="s">
        <v>266</v>
      </c>
      <c r="C317" s="91" t="s">
        <v>465</v>
      </c>
      <c r="D317" s="91" t="s">
        <v>256</v>
      </c>
      <c r="E317" s="93">
        <v>37011</v>
      </c>
      <c r="F317" s="94">
        <f t="shared" ca="1" si="14"/>
        <v>15</v>
      </c>
      <c r="G317" s="95" t="s">
        <v>262</v>
      </c>
      <c r="H317" s="96">
        <v>70760</v>
      </c>
      <c r="I317" s="97">
        <v>1</v>
      </c>
    </row>
    <row r="318" spans="1:9" ht="13.5" x14ac:dyDescent="0.25">
      <c r="A318" s="91" t="s">
        <v>465</v>
      </c>
      <c r="B318" s="92" t="s">
        <v>285</v>
      </c>
      <c r="C318" s="91" t="s">
        <v>465</v>
      </c>
      <c r="D318" s="91" t="s">
        <v>256</v>
      </c>
      <c r="E318" s="93">
        <v>37067</v>
      </c>
      <c r="F318" s="94">
        <f t="shared" ca="1" si="14"/>
        <v>15</v>
      </c>
      <c r="G318" s="95" t="s">
        <v>257</v>
      </c>
      <c r="H318" s="96">
        <v>87760</v>
      </c>
      <c r="I318" s="97">
        <v>1</v>
      </c>
    </row>
    <row r="319" spans="1:9" ht="13.5" x14ac:dyDescent="0.25">
      <c r="A319" s="91" t="s">
        <v>465</v>
      </c>
      <c r="B319" s="92" t="s">
        <v>280</v>
      </c>
      <c r="C319" s="91" t="s">
        <v>465</v>
      </c>
      <c r="D319" s="91" t="s">
        <v>256</v>
      </c>
      <c r="E319" s="93">
        <v>37067</v>
      </c>
      <c r="F319" s="94">
        <f t="shared" ca="1" si="14"/>
        <v>15</v>
      </c>
      <c r="G319" s="95" t="s">
        <v>257</v>
      </c>
      <c r="H319" s="96">
        <v>41060</v>
      </c>
      <c r="I319" s="97">
        <v>3</v>
      </c>
    </row>
    <row r="320" spans="1:9" ht="13.5" x14ac:dyDescent="0.25">
      <c r="A320" s="91" t="s">
        <v>465</v>
      </c>
      <c r="B320" s="92" t="s">
        <v>285</v>
      </c>
      <c r="C320" s="91" t="s">
        <v>465</v>
      </c>
      <c r="D320" s="91" t="s">
        <v>247</v>
      </c>
      <c r="E320" s="93">
        <v>37197</v>
      </c>
      <c r="F320" s="94">
        <f t="shared" ca="1" si="14"/>
        <v>15</v>
      </c>
      <c r="G320" s="95"/>
      <c r="H320" s="96">
        <v>40940</v>
      </c>
      <c r="I320" s="97">
        <v>2</v>
      </c>
    </row>
    <row r="321" spans="1:9" ht="13.5" x14ac:dyDescent="0.25">
      <c r="A321" s="91" t="s">
        <v>465</v>
      </c>
      <c r="B321" s="92" t="s">
        <v>245</v>
      </c>
      <c r="C321" s="91" t="s">
        <v>465</v>
      </c>
      <c r="D321" s="91" t="s">
        <v>247</v>
      </c>
      <c r="E321" s="93">
        <v>37227</v>
      </c>
      <c r="F321" s="94">
        <f t="shared" ca="1" si="14"/>
        <v>14</v>
      </c>
      <c r="G321" s="95"/>
      <c r="H321" s="96">
        <v>39680</v>
      </c>
      <c r="I321" s="97">
        <v>1</v>
      </c>
    </row>
    <row r="322" spans="1:9" ht="13.5" x14ac:dyDescent="0.25">
      <c r="A322" s="91" t="s">
        <v>465</v>
      </c>
      <c r="B322" s="92" t="s">
        <v>285</v>
      </c>
      <c r="C322" s="91" t="s">
        <v>465</v>
      </c>
      <c r="D322" s="91" t="s">
        <v>256</v>
      </c>
      <c r="E322" s="93">
        <v>37354</v>
      </c>
      <c r="F322" s="94">
        <f t="shared" ca="1" si="14"/>
        <v>14</v>
      </c>
      <c r="G322" s="95" t="s">
        <v>257</v>
      </c>
      <c r="H322" s="96">
        <v>61060</v>
      </c>
      <c r="I322" s="97">
        <v>5</v>
      </c>
    </row>
    <row r="323" spans="1:9" ht="13.5" x14ac:dyDescent="0.25">
      <c r="A323" s="91" t="s">
        <v>465</v>
      </c>
      <c r="B323" s="92" t="s">
        <v>245</v>
      </c>
      <c r="C323" s="91" t="s">
        <v>465</v>
      </c>
      <c r="D323" s="91" t="s">
        <v>256</v>
      </c>
      <c r="E323" s="93">
        <v>37423</v>
      </c>
      <c r="F323" s="94">
        <f t="shared" ca="1" si="14"/>
        <v>14</v>
      </c>
      <c r="G323" s="95" t="s">
        <v>276</v>
      </c>
      <c r="H323" s="96">
        <v>68710</v>
      </c>
      <c r="I323" s="97">
        <v>4</v>
      </c>
    </row>
    <row r="324" spans="1:9" ht="13.5" x14ac:dyDescent="0.25">
      <c r="A324" s="91" t="s">
        <v>465</v>
      </c>
      <c r="B324" s="92" t="s">
        <v>245</v>
      </c>
      <c r="C324" s="91" t="s">
        <v>465</v>
      </c>
      <c r="D324" s="91" t="s">
        <v>256</v>
      </c>
      <c r="E324" s="93">
        <v>37499</v>
      </c>
      <c r="F324" s="94">
        <f t="shared" ca="1" si="14"/>
        <v>14</v>
      </c>
      <c r="G324" s="95" t="s">
        <v>262</v>
      </c>
      <c r="H324" s="96">
        <v>76584</v>
      </c>
      <c r="I324" s="97">
        <v>1</v>
      </c>
    </row>
    <row r="325" spans="1:9" ht="13.5" x14ac:dyDescent="0.25">
      <c r="A325" s="91" t="s">
        <v>465</v>
      </c>
      <c r="B325" s="92" t="s">
        <v>285</v>
      </c>
      <c r="C325" s="91" t="s">
        <v>465</v>
      </c>
      <c r="D325" s="91" t="s">
        <v>256</v>
      </c>
      <c r="E325" s="93">
        <v>37511</v>
      </c>
      <c r="F325" s="94">
        <f t="shared" ca="1" si="14"/>
        <v>14</v>
      </c>
      <c r="G325" s="95" t="s">
        <v>283</v>
      </c>
      <c r="H325" s="96">
        <v>65720</v>
      </c>
      <c r="I325" s="97">
        <v>1</v>
      </c>
    </row>
    <row r="326" spans="1:9" ht="13.5" x14ac:dyDescent="0.25">
      <c r="A326" s="91" t="s">
        <v>465</v>
      </c>
      <c r="B326" s="92" t="s">
        <v>285</v>
      </c>
      <c r="C326" s="91" t="s">
        <v>465</v>
      </c>
      <c r="D326" s="91" t="s">
        <v>256</v>
      </c>
      <c r="E326" s="93">
        <v>37522</v>
      </c>
      <c r="F326" s="94">
        <f t="shared" ca="1" si="14"/>
        <v>14</v>
      </c>
      <c r="G326" s="95" t="s">
        <v>276</v>
      </c>
      <c r="H326" s="96">
        <v>29420</v>
      </c>
      <c r="I326" s="97">
        <v>5</v>
      </c>
    </row>
    <row r="327" spans="1:9" ht="13.5" x14ac:dyDescent="0.25">
      <c r="A327" s="91" t="s">
        <v>465</v>
      </c>
      <c r="B327" s="92" t="s">
        <v>280</v>
      </c>
      <c r="C327" s="91" t="s">
        <v>465</v>
      </c>
      <c r="D327" s="91" t="s">
        <v>247</v>
      </c>
      <c r="E327" s="93">
        <v>37564</v>
      </c>
      <c r="F327" s="94">
        <f t="shared" ref="F327:F352" ca="1" si="15">DATEDIF(E327,TODAY(),"Y")</f>
        <v>14</v>
      </c>
      <c r="G327" s="95"/>
      <c r="H327" s="96">
        <v>59330</v>
      </c>
      <c r="I327" s="97">
        <v>4</v>
      </c>
    </row>
    <row r="328" spans="1:9" ht="13.5" x14ac:dyDescent="0.25">
      <c r="A328" s="91" t="s">
        <v>465</v>
      </c>
      <c r="B328" s="92" t="s">
        <v>251</v>
      </c>
      <c r="C328" s="91" t="s">
        <v>465</v>
      </c>
      <c r="D328" s="91" t="s">
        <v>247</v>
      </c>
      <c r="E328" s="93">
        <v>37602</v>
      </c>
      <c r="F328" s="94">
        <f t="shared" ca="1" si="15"/>
        <v>13</v>
      </c>
      <c r="G328" s="95"/>
      <c r="H328" s="96">
        <v>80330</v>
      </c>
      <c r="I328" s="97">
        <v>4</v>
      </c>
    </row>
    <row r="329" spans="1:9" ht="13.5" x14ac:dyDescent="0.25">
      <c r="A329" s="91" t="s">
        <v>465</v>
      </c>
      <c r="B329" s="92" t="s">
        <v>245</v>
      </c>
      <c r="C329" s="91" t="s">
        <v>465</v>
      </c>
      <c r="D329" s="91" t="s">
        <v>252</v>
      </c>
      <c r="E329" s="93">
        <v>37777</v>
      </c>
      <c r="F329" s="94">
        <f t="shared" ca="1" si="15"/>
        <v>13</v>
      </c>
      <c r="G329" s="95"/>
      <c r="H329" s="96">
        <v>14416</v>
      </c>
      <c r="I329" s="97">
        <v>4</v>
      </c>
    </row>
    <row r="330" spans="1:9" ht="13.5" x14ac:dyDescent="0.25">
      <c r="A330" s="91" t="s">
        <v>465</v>
      </c>
      <c r="B330" s="92" t="s">
        <v>285</v>
      </c>
      <c r="C330" s="91" t="s">
        <v>465</v>
      </c>
      <c r="D330" s="91" t="s">
        <v>247</v>
      </c>
      <c r="E330" s="93">
        <v>37879</v>
      </c>
      <c r="F330" s="94">
        <f t="shared" ca="1" si="15"/>
        <v>13</v>
      </c>
      <c r="G330" s="95"/>
      <c r="H330" s="96">
        <v>63850</v>
      </c>
      <c r="I330" s="97">
        <v>2</v>
      </c>
    </row>
    <row r="331" spans="1:9" ht="13.5" x14ac:dyDescent="0.25">
      <c r="A331" s="91" t="s">
        <v>465</v>
      </c>
      <c r="B331" s="92" t="s">
        <v>266</v>
      </c>
      <c r="C331" s="91" t="s">
        <v>465</v>
      </c>
      <c r="D331" s="91" t="s">
        <v>256</v>
      </c>
      <c r="E331" s="93">
        <v>38002</v>
      </c>
      <c r="F331" s="94">
        <f t="shared" ca="1" si="15"/>
        <v>12</v>
      </c>
      <c r="G331" s="95" t="s">
        <v>262</v>
      </c>
      <c r="H331" s="96">
        <v>71030</v>
      </c>
      <c r="I331" s="97">
        <v>3</v>
      </c>
    </row>
    <row r="332" spans="1:9" ht="13.5" x14ac:dyDescent="0.25">
      <c r="A332" s="91" t="s">
        <v>465</v>
      </c>
      <c r="B332" s="92" t="s">
        <v>280</v>
      </c>
      <c r="C332" s="91" t="s">
        <v>465</v>
      </c>
      <c r="D332" s="91" t="s">
        <v>256</v>
      </c>
      <c r="E332" s="93">
        <v>38038</v>
      </c>
      <c r="F332" s="94">
        <f t="shared" ca="1" si="15"/>
        <v>12</v>
      </c>
      <c r="G332" s="95" t="s">
        <v>257</v>
      </c>
      <c r="H332" s="96">
        <v>46220</v>
      </c>
      <c r="I332" s="97">
        <v>2</v>
      </c>
    </row>
    <row r="333" spans="1:9" ht="13.5" x14ac:dyDescent="0.25">
      <c r="A333" s="91" t="s">
        <v>465</v>
      </c>
      <c r="B333" s="92" t="s">
        <v>271</v>
      </c>
      <c r="C333" s="91" t="s">
        <v>465</v>
      </c>
      <c r="D333" s="91" t="s">
        <v>256</v>
      </c>
      <c r="E333" s="93">
        <v>38080</v>
      </c>
      <c r="F333" s="94">
        <f t="shared" ca="1" si="15"/>
        <v>12</v>
      </c>
      <c r="G333" s="95" t="s">
        <v>267</v>
      </c>
      <c r="H333" s="96">
        <v>71490</v>
      </c>
      <c r="I333" s="97">
        <v>5</v>
      </c>
    </row>
    <row r="334" spans="1:9" ht="13.5" x14ac:dyDescent="0.25">
      <c r="A334" s="91" t="s">
        <v>465</v>
      </c>
      <c r="B334" s="92" t="s">
        <v>266</v>
      </c>
      <c r="C334" s="91" t="s">
        <v>465</v>
      </c>
      <c r="D334" s="91" t="s">
        <v>256</v>
      </c>
      <c r="E334" s="93">
        <v>38145</v>
      </c>
      <c r="F334" s="94">
        <f t="shared" ca="1" si="15"/>
        <v>12</v>
      </c>
      <c r="G334" s="95" t="s">
        <v>283</v>
      </c>
      <c r="H334" s="96">
        <v>59420</v>
      </c>
      <c r="I334" s="97">
        <v>4</v>
      </c>
    </row>
    <row r="335" spans="1:9" ht="13.5" x14ac:dyDescent="0.25">
      <c r="A335" s="91" t="s">
        <v>465</v>
      </c>
      <c r="B335" s="92" t="s">
        <v>245</v>
      </c>
      <c r="C335" s="91" t="s">
        <v>465</v>
      </c>
      <c r="D335" s="91" t="s">
        <v>247</v>
      </c>
      <c r="E335" s="93">
        <v>38228</v>
      </c>
      <c r="F335" s="94">
        <f t="shared" ca="1" si="15"/>
        <v>12</v>
      </c>
      <c r="G335" s="95"/>
      <c r="H335" s="96">
        <v>62780</v>
      </c>
      <c r="I335" s="97">
        <v>4</v>
      </c>
    </row>
    <row r="336" spans="1:9" ht="13.5" x14ac:dyDescent="0.25">
      <c r="A336" s="91" t="s">
        <v>465</v>
      </c>
      <c r="B336" s="92" t="s">
        <v>271</v>
      </c>
      <c r="C336" s="91" t="s">
        <v>465</v>
      </c>
      <c r="D336" s="91" t="s">
        <v>247</v>
      </c>
      <c r="E336" s="93">
        <v>38235</v>
      </c>
      <c r="F336" s="94">
        <f t="shared" ca="1" si="15"/>
        <v>12</v>
      </c>
      <c r="G336" s="95"/>
      <c r="H336" s="96">
        <v>84170</v>
      </c>
      <c r="I336" s="97">
        <v>2</v>
      </c>
    </row>
    <row r="337" spans="1:9" ht="13.5" x14ac:dyDescent="0.25">
      <c r="A337" s="91" t="s">
        <v>465</v>
      </c>
      <c r="B337" s="92" t="s">
        <v>271</v>
      </c>
      <c r="C337" s="91" t="s">
        <v>465</v>
      </c>
      <c r="D337" s="91" t="s">
        <v>256</v>
      </c>
      <c r="E337" s="93">
        <v>38386</v>
      </c>
      <c r="F337" s="94">
        <f t="shared" ca="1" si="15"/>
        <v>11</v>
      </c>
      <c r="G337" s="95" t="s">
        <v>257</v>
      </c>
      <c r="H337" s="96">
        <v>69320</v>
      </c>
      <c r="I337" s="97">
        <v>3</v>
      </c>
    </row>
    <row r="338" spans="1:9" ht="13.5" x14ac:dyDescent="0.25">
      <c r="A338" s="91" t="s">
        <v>465</v>
      </c>
      <c r="B338" s="92" t="s">
        <v>266</v>
      </c>
      <c r="C338" s="91" t="s">
        <v>465</v>
      </c>
      <c r="D338" s="91" t="s">
        <v>252</v>
      </c>
      <c r="E338" s="93">
        <v>38437</v>
      </c>
      <c r="F338" s="94">
        <f t="shared" ca="1" si="15"/>
        <v>11</v>
      </c>
      <c r="G338" s="95"/>
      <c r="H338" s="96">
        <v>10572</v>
      </c>
      <c r="I338" s="97">
        <v>4</v>
      </c>
    </row>
    <row r="339" spans="1:9" ht="13.5" x14ac:dyDescent="0.25">
      <c r="A339" s="91" t="s">
        <v>465</v>
      </c>
      <c r="B339" s="92" t="s">
        <v>245</v>
      </c>
      <c r="C339" s="91" t="s">
        <v>465</v>
      </c>
      <c r="D339" s="91" t="s">
        <v>247</v>
      </c>
      <c r="E339" s="93">
        <v>38512</v>
      </c>
      <c r="F339" s="94">
        <f t="shared" ca="1" si="15"/>
        <v>11</v>
      </c>
      <c r="G339" s="95"/>
      <c r="H339" s="96">
        <v>60040</v>
      </c>
      <c r="I339" s="97">
        <v>5</v>
      </c>
    </row>
    <row r="340" spans="1:9" ht="13.5" x14ac:dyDescent="0.25">
      <c r="A340" s="91" t="s">
        <v>465</v>
      </c>
      <c r="B340" s="92" t="s">
        <v>245</v>
      </c>
      <c r="C340" s="91" t="s">
        <v>465</v>
      </c>
      <c r="D340" s="91" t="s">
        <v>247</v>
      </c>
      <c r="E340" s="93">
        <v>38520</v>
      </c>
      <c r="F340" s="94">
        <f t="shared" ca="1" si="15"/>
        <v>11</v>
      </c>
      <c r="G340" s="95"/>
      <c r="H340" s="96">
        <v>78520</v>
      </c>
      <c r="I340" s="97">
        <v>4</v>
      </c>
    </row>
    <row r="341" spans="1:9" ht="13.5" x14ac:dyDescent="0.25">
      <c r="A341" s="91" t="s">
        <v>465</v>
      </c>
      <c r="B341" s="92" t="s">
        <v>280</v>
      </c>
      <c r="C341" s="91" t="s">
        <v>465</v>
      </c>
      <c r="D341" s="91" t="s">
        <v>256</v>
      </c>
      <c r="E341" s="93">
        <v>38662</v>
      </c>
      <c r="F341" s="94">
        <f t="shared" ca="1" si="15"/>
        <v>11</v>
      </c>
      <c r="G341" s="95" t="s">
        <v>257</v>
      </c>
      <c r="H341" s="96">
        <v>78170</v>
      </c>
      <c r="I341" s="97">
        <v>5</v>
      </c>
    </row>
    <row r="342" spans="1:9" ht="13.5" x14ac:dyDescent="0.25">
      <c r="A342" s="91" t="s">
        <v>465</v>
      </c>
      <c r="B342" s="92" t="s">
        <v>266</v>
      </c>
      <c r="C342" s="91" t="s">
        <v>465</v>
      </c>
      <c r="D342" s="91" t="s">
        <v>256</v>
      </c>
      <c r="E342" s="93">
        <v>38865</v>
      </c>
      <c r="F342" s="94">
        <f t="shared" ca="1" si="15"/>
        <v>10</v>
      </c>
      <c r="G342" s="95" t="s">
        <v>267</v>
      </c>
      <c r="H342" s="96">
        <v>34690</v>
      </c>
      <c r="I342" s="97">
        <v>2</v>
      </c>
    </row>
    <row r="343" spans="1:9" ht="13.5" x14ac:dyDescent="0.25">
      <c r="A343" s="91" t="s">
        <v>465</v>
      </c>
      <c r="B343" s="92" t="s">
        <v>285</v>
      </c>
      <c r="C343" s="91" t="s">
        <v>465</v>
      </c>
      <c r="D343" s="91" t="s">
        <v>256</v>
      </c>
      <c r="E343" s="93">
        <v>38893</v>
      </c>
      <c r="F343" s="94">
        <f t="shared" ca="1" si="15"/>
        <v>10</v>
      </c>
      <c r="G343" s="95" t="s">
        <v>257</v>
      </c>
      <c r="H343" s="96">
        <v>35600</v>
      </c>
      <c r="I343" s="97">
        <v>5</v>
      </c>
    </row>
    <row r="344" spans="1:9" ht="13.5" x14ac:dyDescent="0.25">
      <c r="A344" s="91" t="s">
        <v>465</v>
      </c>
      <c r="B344" s="92" t="s">
        <v>271</v>
      </c>
      <c r="C344" s="91" t="s">
        <v>465</v>
      </c>
      <c r="D344" s="91" t="s">
        <v>256</v>
      </c>
      <c r="E344" s="93">
        <v>38960</v>
      </c>
      <c r="F344" s="94">
        <f t="shared" ca="1" si="15"/>
        <v>10</v>
      </c>
      <c r="G344" s="95" t="s">
        <v>283</v>
      </c>
      <c r="H344" s="96">
        <v>35300</v>
      </c>
      <c r="I344" s="97">
        <v>5</v>
      </c>
    </row>
    <row r="345" spans="1:9" ht="13.5" x14ac:dyDescent="0.25">
      <c r="A345" s="91" t="s">
        <v>465</v>
      </c>
      <c r="B345" s="92" t="s">
        <v>285</v>
      </c>
      <c r="C345" s="91" t="s">
        <v>465</v>
      </c>
      <c r="D345" s="91" t="s">
        <v>247</v>
      </c>
      <c r="E345" s="99">
        <v>39139</v>
      </c>
      <c r="F345" s="94">
        <f t="shared" ca="1" si="15"/>
        <v>9</v>
      </c>
      <c r="G345" s="95"/>
      <c r="H345" s="96">
        <v>88840</v>
      </c>
      <c r="I345" s="97">
        <v>5</v>
      </c>
    </row>
    <row r="346" spans="1:9" ht="13.5" x14ac:dyDescent="0.25">
      <c r="A346" s="91" t="s">
        <v>465</v>
      </c>
      <c r="B346" s="92" t="s">
        <v>271</v>
      </c>
      <c r="C346" s="91" t="s">
        <v>465</v>
      </c>
      <c r="D346" s="91" t="s">
        <v>247</v>
      </c>
      <c r="E346" s="93">
        <v>39160</v>
      </c>
      <c r="F346" s="94">
        <f t="shared" ca="1" si="15"/>
        <v>9</v>
      </c>
      <c r="G346" s="95"/>
      <c r="H346" s="96">
        <v>37840</v>
      </c>
      <c r="I346" s="97">
        <v>1</v>
      </c>
    </row>
    <row r="347" spans="1:9" ht="13.5" x14ac:dyDescent="0.25">
      <c r="A347" s="91" t="s">
        <v>465</v>
      </c>
      <c r="B347" s="92" t="s">
        <v>271</v>
      </c>
      <c r="C347" s="91" t="s">
        <v>465</v>
      </c>
      <c r="D347" s="91" t="s">
        <v>247</v>
      </c>
      <c r="E347" s="93">
        <v>39160</v>
      </c>
      <c r="F347" s="94">
        <f t="shared" ca="1" si="15"/>
        <v>9</v>
      </c>
      <c r="G347" s="95"/>
      <c r="H347" s="96">
        <v>37840</v>
      </c>
      <c r="I347" s="97">
        <v>1</v>
      </c>
    </row>
    <row r="348" spans="1:9" ht="13.5" x14ac:dyDescent="0.25">
      <c r="A348" s="91" t="s">
        <v>465</v>
      </c>
      <c r="B348" s="92" t="s">
        <v>271</v>
      </c>
      <c r="C348" s="91" t="s">
        <v>465</v>
      </c>
      <c r="D348" s="91" t="s">
        <v>252</v>
      </c>
      <c r="E348" s="93">
        <v>39264</v>
      </c>
      <c r="F348" s="94">
        <f t="shared" ca="1" si="15"/>
        <v>9</v>
      </c>
      <c r="G348" s="95"/>
      <c r="H348" s="96">
        <v>28424</v>
      </c>
      <c r="I348" s="97">
        <v>4</v>
      </c>
    </row>
    <row r="349" spans="1:9" ht="13.5" x14ac:dyDescent="0.25">
      <c r="A349" s="91" t="s">
        <v>465</v>
      </c>
      <c r="B349" s="92" t="s">
        <v>245</v>
      </c>
      <c r="C349" s="91" t="s">
        <v>465</v>
      </c>
      <c r="D349" s="91" t="s">
        <v>256</v>
      </c>
      <c r="E349" s="93">
        <v>39268</v>
      </c>
      <c r="F349" s="94">
        <f t="shared" ca="1" si="15"/>
        <v>9</v>
      </c>
      <c r="G349" s="95" t="s">
        <v>257</v>
      </c>
      <c r="H349" s="96">
        <v>43820</v>
      </c>
      <c r="I349" s="97">
        <v>2</v>
      </c>
    </row>
    <row r="350" spans="1:9" ht="13.5" x14ac:dyDescent="0.25">
      <c r="A350" s="91" t="s">
        <v>465</v>
      </c>
      <c r="B350" s="92" t="s">
        <v>285</v>
      </c>
      <c r="C350" s="91" t="s">
        <v>465</v>
      </c>
      <c r="D350" s="91" t="s">
        <v>256</v>
      </c>
      <c r="E350" s="99">
        <v>39293</v>
      </c>
      <c r="F350" s="94">
        <f t="shared" ca="1" si="15"/>
        <v>9</v>
      </c>
      <c r="G350" s="95" t="s">
        <v>267</v>
      </c>
      <c r="H350" s="96">
        <v>44260</v>
      </c>
      <c r="I350" s="97">
        <v>1</v>
      </c>
    </row>
    <row r="351" spans="1:9" ht="13.5" x14ac:dyDescent="0.25">
      <c r="A351" s="91" t="s">
        <v>465</v>
      </c>
      <c r="B351" s="92" t="s">
        <v>271</v>
      </c>
      <c r="C351" s="91" t="s">
        <v>465</v>
      </c>
      <c r="D351" s="91" t="s">
        <v>256</v>
      </c>
      <c r="E351" s="93">
        <v>39324</v>
      </c>
      <c r="F351" s="94">
        <f t="shared" ca="1" si="15"/>
        <v>9</v>
      </c>
      <c r="G351" s="95" t="s">
        <v>257</v>
      </c>
      <c r="H351" s="96">
        <v>47440</v>
      </c>
      <c r="I351" s="97">
        <v>3</v>
      </c>
    </row>
    <row r="352" spans="1:9" ht="13.5" x14ac:dyDescent="0.25">
      <c r="A352" s="91" t="s">
        <v>465</v>
      </c>
      <c r="B352" s="92" t="s">
        <v>271</v>
      </c>
      <c r="C352" s="91" t="s">
        <v>465</v>
      </c>
      <c r="D352" s="91" t="s">
        <v>247</v>
      </c>
      <c r="E352" s="99">
        <v>39370</v>
      </c>
      <c r="F352" s="94">
        <f t="shared" ca="1" si="15"/>
        <v>9</v>
      </c>
      <c r="G352" s="95"/>
      <c r="H352" s="96">
        <v>57110</v>
      </c>
      <c r="I352" s="97">
        <v>3</v>
      </c>
    </row>
    <row r="353" spans="1:9" ht="13.5" x14ac:dyDescent="0.25">
      <c r="A353" s="98"/>
      <c r="B353" s="92"/>
      <c r="C353" s="98"/>
      <c r="D353" s="91"/>
      <c r="E353" s="99"/>
      <c r="F353" s="94"/>
      <c r="G353" s="95"/>
      <c r="H353" s="96"/>
      <c r="I353" s="97"/>
    </row>
    <row r="354" spans="1:9" ht="13.5" x14ac:dyDescent="0.25">
      <c r="A354" s="91" t="s">
        <v>618</v>
      </c>
      <c r="B354" s="92" t="s">
        <v>280</v>
      </c>
      <c r="C354" s="91" t="s">
        <v>618</v>
      </c>
      <c r="D354" s="91" t="s">
        <v>256</v>
      </c>
      <c r="E354" s="93">
        <v>32522</v>
      </c>
      <c r="F354" s="94">
        <f t="shared" ref="F354:F360" ca="1" si="16">DATEDIF(E354,TODAY(),"Y")</f>
        <v>27</v>
      </c>
      <c r="G354" s="95" t="s">
        <v>257</v>
      </c>
      <c r="H354" s="96">
        <v>39160</v>
      </c>
      <c r="I354" s="97">
        <v>3</v>
      </c>
    </row>
    <row r="355" spans="1:9" ht="13.5" x14ac:dyDescent="0.25">
      <c r="A355" s="91" t="s">
        <v>618</v>
      </c>
      <c r="B355" s="92" t="s">
        <v>245</v>
      </c>
      <c r="C355" s="91" t="s">
        <v>618</v>
      </c>
      <c r="D355" s="91" t="s">
        <v>247</v>
      </c>
      <c r="E355" s="93">
        <v>35455</v>
      </c>
      <c r="F355" s="94">
        <f t="shared" ca="1" si="16"/>
        <v>19</v>
      </c>
      <c r="G355" s="95"/>
      <c r="H355" s="96">
        <v>74500</v>
      </c>
      <c r="I355" s="97">
        <v>4</v>
      </c>
    </row>
    <row r="356" spans="1:9" ht="13.5" x14ac:dyDescent="0.25">
      <c r="A356" s="91" t="s">
        <v>618</v>
      </c>
      <c r="B356" s="92" t="s">
        <v>251</v>
      </c>
      <c r="C356" s="91" t="s">
        <v>618</v>
      </c>
      <c r="D356" s="91" t="s">
        <v>256</v>
      </c>
      <c r="E356" s="93">
        <v>36097</v>
      </c>
      <c r="F356" s="94">
        <f t="shared" ca="1" si="16"/>
        <v>18</v>
      </c>
      <c r="G356" s="95" t="s">
        <v>257</v>
      </c>
      <c r="H356" s="96">
        <v>59140</v>
      </c>
      <c r="I356" s="97">
        <v>5</v>
      </c>
    </row>
    <row r="357" spans="1:9" ht="13.5" x14ac:dyDescent="0.25">
      <c r="A357" s="91" t="s">
        <v>618</v>
      </c>
      <c r="B357" s="92" t="s">
        <v>285</v>
      </c>
      <c r="C357" s="91" t="s">
        <v>618</v>
      </c>
      <c r="D357" s="91" t="s">
        <v>256</v>
      </c>
      <c r="E357" s="93">
        <v>36626</v>
      </c>
      <c r="F357" s="94">
        <f t="shared" ca="1" si="16"/>
        <v>16</v>
      </c>
      <c r="G357" s="95" t="s">
        <v>283</v>
      </c>
      <c r="H357" s="96">
        <v>53870</v>
      </c>
      <c r="I357" s="97">
        <v>2</v>
      </c>
    </row>
    <row r="358" spans="1:9" ht="13.5" x14ac:dyDescent="0.25">
      <c r="A358" s="91" t="s">
        <v>618</v>
      </c>
      <c r="B358" s="92" t="s">
        <v>245</v>
      </c>
      <c r="C358" s="91" t="s">
        <v>618</v>
      </c>
      <c r="D358" s="91" t="s">
        <v>256</v>
      </c>
      <c r="E358" s="93">
        <v>37728</v>
      </c>
      <c r="F358" s="94">
        <f t="shared" ca="1" si="16"/>
        <v>13</v>
      </c>
      <c r="G358" s="95" t="s">
        <v>276</v>
      </c>
      <c r="H358" s="96">
        <v>71400</v>
      </c>
      <c r="I358" s="97">
        <v>4</v>
      </c>
    </row>
    <row r="359" spans="1:9" ht="13.5" x14ac:dyDescent="0.25">
      <c r="A359" s="91" t="s">
        <v>618</v>
      </c>
      <c r="B359" s="92" t="s">
        <v>266</v>
      </c>
      <c r="C359" s="91" t="s">
        <v>618</v>
      </c>
      <c r="D359" s="91" t="s">
        <v>247</v>
      </c>
      <c r="E359" s="99">
        <v>38982</v>
      </c>
      <c r="F359" s="94">
        <f t="shared" ca="1" si="16"/>
        <v>10</v>
      </c>
      <c r="G359" s="95"/>
      <c r="H359" s="96">
        <v>61890</v>
      </c>
      <c r="I359" s="97">
        <v>2</v>
      </c>
    </row>
    <row r="360" spans="1:9" ht="13.5" x14ac:dyDescent="0.25">
      <c r="A360" s="91" t="s">
        <v>618</v>
      </c>
      <c r="B360" s="92" t="s">
        <v>266</v>
      </c>
      <c r="C360" s="91" t="s">
        <v>618</v>
      </c>
      <c r="D360" s="91" t="s">
        <v>256</v>
      </c>
      <c r="E360" s="99">
        <v>39003</v>
      </c>
      <c r="F360" s="94">
        <f t="shared" ca="1" si="16"/>
        <v>10</v>
      </c>
      <c r="G360" s="95" t="s">
        <v>283</v>
      </c>
      <c r="H360" s="96">
        <v>27250</v>
      </c>
      <c r="I360" s="97">
        <v>5</v>
      </c>
    </row>
    <row r="361" spans="1:9" ht="13.5" x14ac:dyDescent="0.25">
      <c r="A361" s="98"/>
      <c r="B361" s="92"/>
      <c r="C361" s="98"/>
      <c r="D361" s="91"/>
      <c r="E361" s="99"/>
      <c r="F361" s="94"/>
      <c r="G361" s="95"/>
      <c r="H361" s="96"/>
      <c r="I361" s="97"/>
    </row>
    <row r="362" spans="1:9" ht="13.5" x14ac:dyDescent="0.25">
      <c r="A362" s="91" t="s">
        <v>626</v>
      </c>
      <c r="B362" s="92" t="s">
        <v>245</v>
      </c>
      <c r="C362" s="91" t="s">
        <v>626</v>
      </c>
      <c r="D362" s="91" t="s">
        <v>256</v>
      </c>
      <c r="E362" s="93">
        <v>31913</v>
      </c>
      <c r="F362" s="94">
        <f t="shared" ref="F362:F393" ca="1" si="17">DATEDIF(E362,TODAY(),"Y")</f>
        <v>29</v>
      </c>
      <c r="G362" s="95" t="s">
        <v>262</v>
      </c>
      <c r="H362" s="96">
        <v>31260</v>
      </c>
      <c r="I362" s="97">
        <v>5</v>
      </c>
    </row>
    <row r="363" spans="1:9" ht="13.5" x14ac:dyDescent="0.25">
      <c r="A363" s="91" t="s">
        <v>626</v>
      </c>
      <c r="B363" s="92" t="s">
        <v>280</v>
      </c>
      <c r="C363" s="91" t="s">
        <v>626</v>
      </c>
      <c r="D363" s="91" t="s">
        <v>256</v>
      </c>
      <c r="E363" s="93">
        <v>31937</v>
      </c>
      <c r="F363" s="94">
        <f t="shared" ca="1" si="17"/>
        <v>29</v>
      </c>
      <c r="G363" s="95" t="s">
        <v>257</v>
      </c>
      <c r="H363" s="96">
        <v>62740</v>
      </c>
      <c r="I363" s="97">
        <v>4</v>
      </c>
    </row>
    <row r="364" spans="1:9" ht="13.5" x14ac:dyDescent="0.25">
      <c r="A364" s="91" t="s">
        <v>626</v>
      </c>
      <c r="B364" s="92" t="s">
        <v>285</v>
      </c>
      <c r="C364" s="91" t="s">
        <v>626</v>
      </c>
      <c r="D364" s="91" t="s">
        <v>252</v>
      </c>
      <c r="E364" s="93">
        <v>31995</v>
      </c>
      <c r="F364" s="94">
        <f t="shared" ca="1" si="17"/>
        <v>29</v>
      </c>
      <c r="G364" s="95"/>
      <c r="H364" s="96">
        <v>36844</v>
      </c>
      <c r="I364" s="97">
        <v>4</v>
      </c>
    </row>
    <row r="365" spans="1:9" ht="13.5" x14ac:dyDescent="0.25">
      <c r="A365" s="91" t="s">
        <v>626</v>
      </c>
      <c r="B365" s="92" t="s">
        <v>271</v>
      </c>
      <c r="C365" s="91" t="s">
        <v>626</v>
      </c>
      <c r="D365" s="91" t="s">
        <v>261</v>
      </c>
      <c r="E365" s="93">
        <v>32009</v>
      </c>
      <c r="F365" s="94">
        <f t="shared" ca="1" si="17"/>
        <v>29</v>
      </c>
      <c r="G365" s="95" t="s">
        <v>267</v>
      </c>
      <c r="H365" s="96">
        <v>13090</v>
      </c>
      <c r="I365" s="97">
        <v>4</v>
      </c>
    </row>
    <row r="366" spans="1:9" ht="13.5" x14ac:dyDescent="0.25">
      <c r="A366" s="91" t="s">
        <v>626</v>
      </c>
      <c r="B366" s="92" t="s">
        <v>251</v>
      </c>
      <c r="C366" s="91" t="s">
        <v>626</v>
      </c>
      <c r="D366" s="91" t="s">
        <v>256</v>
      </c>
      <c r="E366" s="93">
        <v>32097</v>
      </c>
      <c r="F366" s="94">
        <f t="shared" ca="1" si="17"/>
        <v>29</v>
      </c>
      <c r="G366" s="95" t="s">
        <v>257</v>
      </c>
      <c r="H366" s="96">
        <v>22900</v>
      </c>
      <c r="I366" s="97">
        <v>1</v>
      </c>
    </row>
    <row r="367" spans="1:9" ht="13.5" x14ac:dyDescent="0.25">
      <c r="A367" s="91" t="s">
        <v>626</v>
      </c>
      <c r="B367" s="92" t="s">
        <v>285</v>
      </c>
      <c r="C367" s="91" t="s">
        <v>626</v>
      </c>
      <c r="D367" s="91" t="s">
        <v>256</v>
      </c>
      <c r="E367" s="93">
        <v>32296</v>
      </c>
      <c r="F367" s="94">
        <f t="shared" ca="1" si="17"/>
        <v>28</v>
      </c>
      <c r="G367" s="95" t="s">
        <v>262</v>
      </c>
      <c r="H367" s="96">
        <v>87120</v>
      </c>
      <c r="I367" s="97">
        <v>3</v>
      </c>
    </row>
    <row r="368" spans="1:9" ht="13.5" x14ac:dyDescent="0.25">
      <c r="A368" s="91" t="s">
        <v>626</v>
      </c>
      <c r="B368" s="92" t="s">
        <v>285</v>
      </c>
      <c r="C368" s="91" t="s">
        <v>626</v>
      </c>
      <c r="D368" s="91" t="s">
        <v>256</v>
      </c>
      <c r="E368" s="93">
        <v>32385</v>
      </c>
      <c r="F368" s="94">
        <f t="shared" ca="1" si="17"/>
        <v>28</v>
      </c>
      <c r="G368" s="95" t="s">
        <v>262</v>
      </c>
      <c r="H368" s="96">
        <v>60560</v>
      </c>
      <c r="I368" s="97">
        <v>4</v>
      </c>
    </row>
    <row r="369" spans="1:9" ht="13.5" x14ac:dyDescent="0.25">
      <c r="A369" s="91" t="s">
        <v>626</v>
      </c>
      <c r="B369" s="92" t="s">
        <v>245</v>
      </c>
      <c r="C369" s="91" t="s">
        <v>626</v>
      </c>
      <c r="D369" s="91" t="s">
        <v>256</v>
      </c>
      <c r="E369" s="93">
        <v>32392</v>
      </c>
      <c r="F369" s="94">
        <f t="shared" ca="1" si="17"/>
        <v>28</v>
      </c>
      <c r="G369" s="95" t="s">
        <v>257</v>
      </c>
      <c r="H369" s="96">
        <v>37020</v>
      </c>
      <c r="I369" s="97">
        <v>2</v>
      </c>
    </row>
    <row r="370" spans="1:9" ht="13.5" x14ac:dyDescent="0.25">
      <c r="A370" s="91" t="s">
        <v>626</v>
      </c>
      <c r="B370" s="92" t="s">
        <v>251</v>
      </c>
      <c r="C370" s="91" t="s">
        <v>626</v>
      </c>
      <c r="D370" s="91" t="s">
        <v>256</v>
      </c>
      <c r="E370" s="93">
        <v>32455</v>
      </c>
      <c r="F370" s="94">
        <f t="shared" ca="1" si="17"/>
        <v>28</v>
      </c>
      <c r="G370" s="95" t="s">
        <v>262</v>
      </c>
      <c r="H370" s="96">
        <v>73930</v>
      </c>
      <c r="I370" s="97">
        <v>1</v>
      </c>
    </row>
    <row r="371" spans="1:9" ht="13.5" x14ac:dyDescent="0.25">
      <c r="A371" s="91" t="s">
        <v>626</v>
      </c>
      <c r="B371" s="92" t="s">
        <v>285</v>
      </c>
      <c r="C371" s="91" t="s">
        <v>626</v>
      </c>
      <c r="D371" s="91" t="s">
        <v>256</v>
      </c>
      <c r="E371" s="93">
        <v>32724</v>
      </c>
      <c r="F371" s="94">
        <f t="shared" ca="1" si="17"/>
        <v>27</v>
      </c>
      <c r="G371" s="95" t="s">
        <v>267</v>
      </c>
      <c r="H371" s="96">
        <v>45180</v>
      </c>
      <c r="I371" s="97">
        <v>5</v>
      </c>
    </row>
    <row r="372" spans="1:9" ht="13.5" x14ac:dyDescent="0.25">
      <c r="A372" s="91" t="s">
        <v>626</v>
      </c>
      <c r="B372" s="92" t="s">
        <v>266</v>
      </c>
      <c r="C372" s="91" t="s">
        <v>626</v>
      </c>
      <c r="D372" s="91" t="s">
        <v>247</v>
      </c>
      <c r="E372" s="93">
        <v>32744</v>
      </c>
      <c r="F372" s="94">
        <f t="shared" ca="1" si="17"/>
        <v>27</v>
      </c>
      <c r="G372" s="95"/>
      <c r="H372" s="96">
        <v>29000</v>
      </c>
      <c r="I372" s="97">
        <v>5</v>
      </c>
    </row>
    <row r="373" spans="1:9" ht="13.5" x14ac:dyDescent="0.25">
      <c r="A373" s="91" t="s">
        <v>626</v>
      </c>
      <c r="B373" s="92" t="s">
        <v>285</v>
      </c>
      <c r="C373" s="91" t="s">
        <v>626</v>
      </c>
      <c r="D373" s="91" t="s">
        <v>256</v>
      </c>
      <c r="E373" s="93">
        <v>32757</v>
      </c>
      <c r="F373" s="94">
        <f t="shared" ca="1" si="17"/>
        <v>27</v>
      </c>
      <c r="G373" s="95" t="s">
        <v>267</v>
      </c>
      <c r="H373" s="96">
        <v>86540</v>
      </c>
      <c r="I373" s="97">
        <v>4</v>
      </c>
    </row>
    <row r="374" spans="1:9" ht="13.5" x14ac:dyDescent="0.25">
      <c r="A374" s="91" t="s">
        <v>626</v>
      </c>
      <c r="B374" s="92" t="s">
        <v>285</v>
      </c>
      <c r="C374" s="91" t="s">
        <v>626</v>
      </c>
      <c r="D374" s="91" t="s">
        <v>256</v>
      </c>
      <c r="E374" s="93">
        <v>32867</v>
      </c>
      <c r="F374" s="94">
        <f t="shared" ca="1" si="17"/>
        <v>26</v>
      </c>
      <c r="G374" s="95" t="s">
        <v>283</v>
      </c>
      <c r="H374" s="96">
        <v>65250</v>
      </c>
      <c r="I374" s="97">
        <v>2</v>
      </c>
    </row>
    <row r="375" spans="1:9" ht="13.5" x14ac:dyDescent="0.25">
      <c r="A375" s="91" t="s">
        <v>626</v>
      </c>
      <c r="B375" s="92" t="s">
        <v>285</v>
      </c>
      <c r="C375" s="91" t="s">
        <v>626</v>
      </c>
      <c r="D375" s="91" t="s">
        <v>256</v>
      </c>
      <c r="E375" s="93">
        <v>33565</v>
      </c>
      <c r="F375" s="94">
        <f t="shared" ca="1" si="17"/>
        <v>24</v>
      </c>
      <c r="G375" s="95" t="s">
        <v>276</v>
      </c>
      <c r="H375" s="96">
        <v>66920</v>
      </c>
      <c r="I375" s="97">
        <v>2</v>
      </c>
    </row>
    <row r="376" spans="1:9" ht="13.5" x14ac:dyDescent="0.25">
      <c r="A376" s="91" t="s">
        <v>626</v>
      </c>
      <c r="B376" s="92" t="s">
        <v>280</v>
      </c>
      <c r="C376" s="91" t="s">
        <v>626</v>
      </c>
      <c r="D376" s="91" t="s">
        <v>247</v>
      </c>
      <c r="E376" s="93">
        <v>33637</v>
      </c>
      <c r="F376" s="94">
        <f t="shared" ca="1" si="17"/>
        <v>24</v>
      </c>
      <c r="G376" s="95"/>
      <c r="H376" s="96">
        <v>81930</v>
      </c>
      <c r="I376" s="97">
        <v>5</v>
      </c>
    </row>
    <row r="377" spans="1:9" ht="13.5" x14ac:dyDescent="0.25">
      <c r="A377" s="91" t="s">
        <v>626</v>
      </c>
      <c r="B377" s="92" t="s">
        <v>280</v>
      </c>
      <c r="C377" s="91" t="s">
        <v>626</v>
      </c>
      <c r="D377" s="91" t="s">
        <v>247</v>
      </c>
      <c r="E377" s="93">
        <v>33637</v>
      </c>
      <c r="F377" s="94">
        <f t="shared" ca="1" si="17"/>
        <v>24</v>
      </c>
      <c r="G377" s="95"/>
      <c r="H377" s="96">
        <v>81930</v>
      </c>
      <c r="I377" s="97">
        <v>5</v>
      </c>
    </row>
    <row r="378" spans="1:9" ht="13.5" x14ac:dyDescent="0.25">
      <c r="A378" s="91" t="s">
        <v>626</v>
      </c>
      <c r="B378" s="92" t="s">
        <v>245</v>
      </c>
      <c r="C378" s="91" t="s">
        <v>626</v>
      </c>
      <c r="D378" s="91" t="s">
        <v>256</v>
      </c>
      <c r="E378" s="93">
        <v>33910</v>
      </c>
      <c r="F378" s="94">
        <f t="shared" ca="1" si="17"/>
        <v>24</v>
      </c>
      <c r="G378" s="95" t="s">
        <v>267</v>
      </c>
      <c r="H378" s="96">
        <v>70480</v>
      </c>
      <c r="I378" s="97">
        <v>4</v>
      </c>
    </row>
    <row r="379" spans="1:9" ht="13.5" x14ac:dyDescent="0.25">
      <c r="A379" s="91" t="s">
        <v>626</v>
      </c>
      <c r="B379" s="92" t="s">
        <v>245</v>
      </c>
      <c r="C379" s="91" t="s">
        <v>626</v>
      </c>
      <c r="D379" s="91" t="s">
        <v>256</v>
      </c>
      <c r="E379" s="93">
        <v>33944</v>
      </c>
      <c r="F379" s="94">
        <f t="shared" ca="1" si="17"/>
        <v>23</v>
      </c>
      <c r="G379" s="95" t="s">
        <v>257</v>
      </c>
      <c r="H379" s="96">
        <v>48800</v>
      </c>
      <c r="I379" s="97">
        <v>4</v>
      </c>
    </row>
    <row r="380" spans="1:9" ht="13.5" x14ac:dyDescent="0.25">
      <c r="A380" s="91" t="s">
        <v>626</v>
      </c>
      <c r="B380" s="92" t="s">
        <v>251</v>
      </c>
      <c r="C380" s="91" t="s">
        <v>626</v>
      </c>
      <c r="D380" s="91" t="s">
        <v>256</v>
      </c>
      <c r="E380" s="93">
        <v>33972</v>
      </c>
      <c r="F380" s="94">
        <f t="shared" ca="1" si="17"/>
        <v>23</v>
      </c>
      <c r="G380" s="95" t="s">
        <v>257</v>
      </c>
      <c r="H380" s="96">
        <v>57560</v>
      </c>
      <c r="I380" s="97">
        <v>4</v>
      </c>
    </row>
    <row r="381" spans="1:9" ht="13.5" x14ac:dyDescent="0.25">
      <c r="A381" s="91" t="s">
        <v>626</v>
      </c>
      <c r="B381" s="92" t="s">
        <v>266</v>
      </c>
      <c r="C381" s="91" t="s">
        <v>626</v>
      </c>
      <c r="D381" s="91" t="s">
        <v>247</v>
      </c>
      <c r="E381" s="93">
        <v>34208</v>
      </c>
      <c r="F381" s="94">
        <f t="shared" ca="1" si="17"/>
        <v>23</v>
      </c>
      <c r="G381" s="95"/>
      <c r="H381" s="96">
        <v>53870</v>
      </c>
      <c r="I381" s="97">
        <v>2</v>
      </c>
    </row>
    <row r="382" spans="1:9" ht="13.5" x14ac:dyDescent="0.25">
      <c r="A382" s="91" t="s">
        <v>626</v>
      </c>
      <c r="B382" s="92" t="s">
        <v>285</v>
      </c>
      <c r="C382" s="91" t="s">
        <v>626</v>
      </c>
      <c r="D382" s="91" t="s">
        <v>256</v>
      </c>
      <c r="E382" s="93">
        <v>34237</v>
      </c>
      <c r="F382" s="94">
        <f t="shared" ca="1" si="17"/>
        <v>23</v>
      </c>
      <c r="G382" s="95" t="s">
        <v>257</v>
      </c>
      <c r="H382" s="96">
        <v>81640</v>
      </c>
      <c r="I382" s="97">
        <v>4</v>
      </c>
    </row>
    <row r="383" spans="1:9" ht="13.5" x14ac:dyDescent="0.25">
      <c r="A383" s="91" t="s">
        <v>626</v>
      </c>
      <c r="B383" s="92" t="s">
        <v>285</v>
      </c>
      <c r="C383" s="91" t="s">
        <v>626</v>
      </c>
      <c r="D383" s="91" t="s">
        <v>256</v>
      </c>
      <c r="E383" s="93">
        <v>34237</v>
      </c>
      <c r="F383" s="94">
        <f t="shared" ca="1" si="17"/>
        <v>23</v>
      </c>
      <c r="G383" s="95" t="s">
        <v>257</v>
      </c>
      <c r="H383" s="96">
        <v>81640</v>
      </c>
      <c r="I383" s="97">
        <v>4</v>
      </c>
    </row>
    <row r="384" spans="1:9" ht="13.5" x14ac:dyDescent="0.25">
      <c r="A384" s="91" t="s">
        <v>626</v>
      </c>
      <c r="B384" s="92" t="s">
        <v>285</v>
      </c>
      <c r="C384" s="91" t="s">
        <v>626</v>
      </c>
      <c r="D384" s="91" t="s">
        <v>247</v>
      </c>
      <c r="E384" s="93">
        <v>34372</v>
      </c>
      <c r="F384" s="94">
        <f t="shared" ca="1" si="17"/>
        <v>22</v>
      </c>
      <c r="G384" s="95"/>
      <c r="H384" s="96">
        <v>63850</v>
      </c>
      <c r="I384" s="97">
        <v>2</v>
      </c>
    </row>
    <row r="385" spans="1:9" ht="13.5" x14ac:dyDescent="0.25">
      <c r="A385" s="91" t="s">
        <v>626</v>
      </c>
      <c r="B385" s="92" t="s">
        <v>271</v>
      </c>
      <c r="C385" s="91" t="s">
        <v>626</v>
      </c>
      <c r="D385" s="91" t="s">
        <v>247</v>
      </c>
      <c r="E385" s="93">
        <v>34466</v>
      </c>
      <c r="F385" s="94">
        <f t="shared" ca="1" si="17"/>
        <v>22</v>
      </c>
      <c r="G385" s="95"/>
      <c r="H385" s="96">
        <v>77930</v>
      </c>
      <c r="I385" s="97">
        <v>5</v>
      </c>
    </row>
    <row r="386" spans="1:9" ht="13.5" x14ac:dyDescent="0.25">
      <c r="A386" s="91" t="s">
        <v>626</v>
      </c>
      <c r="B386" s="92" t="s">
        <v>245</v>
      </c>
      <c r="C386" s="91" t="s">
        <v>626</v>
      </c>
      <c r="D386" s="91" t="s">
        <v>256</v>
      </c>
      <c r="E386" s="93">
        <v>34546</v>
      </c>
      <c r="F386" s="94">
        <f t="shared" ca="1" si="17"/>
        <v>22</v>
      </c>
      <c r="G386" s="95" t="s">
        <v>276</v>
      </c>
      <c r="H386" s="96">
        <v>86830</v>
      </c>
      <c r="I386" s="97">
        <v>3</v>
      </c>
    </row>
    <row r="387" spans="1:9" ht="13.5" x14ac:dyDescent="0.25">
      <c r="A387" s="91" t="s">
        <v>626</v>
      </c>
      <c r="B387" s="92" t="s">
        <v>271</v>
      </c>
      <c r="C387" s="91" t="s">
        <v>626</v>
      </c>
      <c r="D387" s="91" t="s">
        <v>256</v>
      </c>
      <c r="E387" s="93">
        <v>34547</v>
      </c>
      <c r="F387" s="94">
        <f t="shared" ca="1" si="17"/>
        <v>22</v>
      </c>
      <c r="G387" s="95" t="s">
        <v>283</v>
      </c>
      <c r="H387" s="96">
        <v>82110</v>
      </c>
      <c r="I387" s="97">
        <v>3</v>
      </c>
    </row>
    <row r="388" spans="1:9" ht="13.5" x14ac:dyDescent="0.25">
      <c r="A388" s="91" t="s">
        <v>626</v>
      </c>
      <c r="B388" s="92" t="s">
        <v>285</v>
      </c>
      <c r="C388" s="91" t="s">
        <v>626</v>
      </c>
      <c r="D388" s="91" t="s">
        <v>261</v>
      </c>
      <c r="E388" s="93">
        <v>34784</v>
      </c>
      <c r="F388" s="94">
        <f t="shared" ca="1" si="17"/>
        <v>21</v>
      </c>
      <c r="G388" s="95" t="s">
        <v>257</v>
      </c>
      <c r="H388" s="96">
        <v>47885</v>
      </c>
      <c r="I388" s="97">
        <v>1</v>
      </c>
    </row>
    <row r="389" spans="1:9" ht="13.5" x14ac:dyDescent="0.25">
      <c r="A389" s="91" t="s">
        <v>626</v>
      </c>
      <c r="B389" s="92" t="s">
        <v>285</v>
      </c>
      <c r="C389" s="91" t="s">
        <v>626</v>
      </c>
      <c r="D389" s="91" t="s">
        <v>256</v>
      </c>
      <c r="E389" s="93">
        <v>34806</v>
      </c>
      <c r="F389" s="94">
        <f t="shared" ca="1" si="17"/>
        <v>21</v>
      </c>
      <c r="G389" s="95" t="s">
        <v>276</v>
      </c>
      <c r="H389" s="96">
        <v>49770</v>
      </c>
      <c r="I389" s="97">
        <v>1</v>
      </c>
    </row>
    <row r="390" spans="1:9" ht="13.5" x14ac:dyDescent="0.25">
      <c r="A390" s="91" t="s">
        <v>626</v>
      </c>
      <c r="B390" s="92" t="s">
        <v>245</v>
      </c>
      <c r="C390" s="91" t="s">
        <v>626</v>
      </c>
      <c r="D390" s="91" t="s">
        <v>261</v>
      </c>
      <c r="E390" s="93">
        <v>34811</v>
      </c>
      <c r="F390" s="94">
        <f t="shared" ca="1" si="17"/>
        <v>21</v>
      </c>
      <c r="G390" s="95" t="s">
        <v>283</v>
      </c>
      <c r="H390" s="96">
        <v>28880</v>
      </c>
      <c r="I390" s="97">
        <v>3</v>
      </c>
    </row>
    <row r="391" spans="1:9" ht="13.5" x14ac:dyDescent="0.25">
      <c r="A391" s="91" t="s">
        <v>626</v>
      </c>
      <c r="B391" s="92" t="s">
        <v>245</v>
      </c>
      <c r="C391" s="91" t="s">
        <v>626</v>
      </c>
      <c r="D391" s="91" t="s">
        <v>247</v>
      </c>
      <c r="E391" s="93">
        <v>34882</v>
      </c>
      <c r="F391" s="94">
        <f t="shared" ca="1" si="17"/>
        <v>21</v>
      </c>
      <c r="G391" s="95"/>
      <c r="H391" s="96">
        <v>47620</v>
      </c>
      <c r="I391" s="97">
        <v>5</v>
      </c>
    </row>
    <row r="392" spans="1:9" ht="13.5" x14ac:dyDescent="0.25">
      <c r="A392" s="91" t="s">
        <v>626</v>
      </c>
      <c r="B392" s="92" t="s">
        <v>251</v>
      </c>
      <c r="C392" s="91" t="s">
        <v>626</v>
      </c>
      <c r="D392" s="91" t="s">
        <v>247</v>
      </c>
      <c r="E392" s="93">
        <v>34889</v>
      </c>
      <c r="F392" s="94">
        <f t="shared" ca="1" si="17"/>
        <v>21</v>
      </c>
      <c r="G392" s="95"/>
      <c r="H392" s="96">
        <v>31270</v>
      </c>
      <c r="I392" s="97">
        <v>5</v>
      </c>
    </row>
    <row r="393" spans="1:9" ht="13.5" x14ac:dyDescent="0.25">
      <c r="A393" s="91" t="s">
        <v>626</v>
      </c>
      <c r="B393" s="92" t="s">
        <v>266</v>
      </c>
      <c r="C393" s="91" t="s">
        <v>626</v>
      </c>
      <c r="D393" s="91" t="s">
        <v>256</v>
      </c>
      <c r="E393" s="93">
        <v>34987</v>
      </c>
      <c r="F393" s="94">
        <f t="shared" ca="1" si="17"/>
        <v>21</v>
      </c>
      <c r="G393" s="95" t="s">
        <v>257</v>
      </c>
      <c r="H393" s="96">
        <v>46030</v>
      </c>
      <c r="I393" s="97">
        <v>2</v>
      </c>
    </row>
    <row r="394" spans="1:9" ht="13.5" x14ac:dyDescent="0.25">
      <c r="A394" s="91" t="s">
        <v>626</v>
      </c>
      <c r="B394" s="92" t="s">
        <v>280</v>
      </c>
      <c r="C394" s="91" t="s">
        <v>626</v>
      </c>
      <c r="D394" s="91" t="s">
        <v>261</v>
      </c>
      <c r="E394" s="93">
        <v>35061</v>
      </c>
      <c r="F394" s="94">
        <f t="shared" ref="F394:F416" ca="1" si="18">DATEDIF(E394,TODAY(),"Y")</f>
        <v>20</v>
      </c>
      <c r="G394" s="95" t="s">
        <v>283</v>
      </c>
      <c r="H394" s="96">
        <v>26790</v>
      </c>
      <c r="I394" s="97">
        <v>2</v>
      </c>
    </row>
    <row r="395" spans="1:9" ht="13.5" x14ac:dyDescent="0.25">
      <c r="A395" s="91" t="s">
        <v>626</v>
      </c>
      <c r="B395" s="92" t="s">
        <v>251</v>
      </c>
      <c r="C395" s="91" t="s">
        <v>626</v>
      </c>
      <c r="D395" s="91" t="s">
        <v>256</v>
      </c>
      <c r="E395" s="93">
        <v>35082</v>
      </c>
      <c r="F395" s="94">
        <f t="shared" ca="1" si="18"/>
        <v>20</v>
      </c>
      <c r="G395" s="95" t="s">
        <v>283</v>
      </c>
      <c r="H395" s="96">
        <v>51410</v>
      </c>
      <c r="I395" s="97">
        <v>4</v>
      </c>
    </row>
    <row r="396" spans="1:9" ht="13.5" x14ac:dyDescent="0.25">
      <c r="A396" s="91" t="s">
        <v>626</v>
      </c>
      <c r="B396" s="92" t="s">
        <v>271</v>
      </c>
      <c r="C396" s="91" t="s">
        <v>626</v>
      </c>
      <c r="D396" s="91" t="s">
        <v>256</v>
      </c>
      <c r="E396" s="93">
        <v>35146</v>
      </c>
      <c r="F396" s="94">
        <f t="shared" ca="1" si="18"/>
        <v>20</v>
      </c>
      <c r="G396" s="95" t="s">
        <v>283</v>
      </c>
      <c r="H396" s="96">
        <v>43460</v>
      </c>
      <c r="I396" s="97">
        <v>5</v>
      </c>
    </row>
    <row r="397" spans="1:9" ht="13.5" x14ac:dyDescent="0.25">
      <c r="A397" s="91" t="s">
        <v>626</v>
      </c>
      <c r="B397" s="92" t="s">
        <v>285</v>
      </c>
      <c r="C397" s="91" t="s">
        <v>626</v>
      </c>
      <c r="D397" s="91" t="s">
        <v>256</v>
      </c>
      <c r="E397" s="93">
        <v>35153</v>
      </c>
      <c r="F397" s="94">
        <f t="shared" ca="1" si="18"/>
        <v>20</v>
      </c>
      <c r="G397" s="95" t="s">
        <v>257</v>
      </c>
      <c r="H397" s="96">
        <v>44220</v>
      </c>
      <c r="I397" s="97">
        <v>3</v>
      </c>
    </row>
    <row r="398" spans="1:9" ht="13.5" x14ac:dyDescent="0.25">
      <c r="A398" s="91" t="s">
        <v>626</v>
      </c>
      <c r="B398" s="92" t="s">
        <v>245</v>
      </c>
      <c r="C398" s="91" t="s">
        <v>626</v>
      </c>
      <c r="D398" s="91" t="s">
        <v>256</v>
      </c>
      <c r="E398" s="93">
        <v>35352</v>
      </c>
      <c r="F398" s="94">
        <f t="shared" ca="1" si="18"/>
        <v>20</v>
      </c>
      <c r="G398" s="95" t="s">
        <v>283</v>
      </c>
      <c r="H398" s="96">
        <v>52490</v>
      </c>
      <c r="I398" s="97">
        <v>4</v>
      </c>
    </row>
    <row r="399" spans="1:9" ht="13.5" x14ac:dyDescent="0.25">
      <c r="A399" s="91" t="s">
        <v>626</v>
      </c>
      <c r="B399" s="92" t="s">
        <v>285</v>
      </c>
      <c r="C399" s="91" t="s">
        <v>626</v>
      </c>
      <c r="D399" s="91" t="s">
        <v>247</v>
      </c>
      <c r="E399" s="93">
        <v>35393</v>
      </c>
      <c r="F399" s="94">
        <f t="shared" ca="1" si="18"/>
        <v>19</v>
      </c>
      <c r="G399" s="95"/>
      <c r="H399" s="96">
        <v>50200</v>
      </c>
      <c r="I399" s="97">
        <v>4</v>
      </c>
    </row>
    <row r="400" spans="1:9" ht="13.5" x14ac:dyDescent="0.25">
      <c r="A400" s="91" t="s">
        <v>626</v>
      </c>
      <c r="B400" s="92" t="s">
        <v>245</v>
      </c>
      <c r="C400" s="91" t="s">
        <v>626</v>
      </c>
      <c r="D400" s="91" t="s">
        <v>256</v>
      </c>
      <c r="E400" s="93">
        <v>35630</v>
      </c>
      <c r="F400" s="94">
        <f t="shared" ca="1" si="18"/>
        <v>19</v>
      </c>
      <c r="G400" s="95" t="s">
        <v>257</v>
      </c>
      <c r="H400" s="96">
        <v>48990</v>
      </c>
      <c r="I400" s="97">
        <v>5</v>
      </c>
    </row>
    <row r="401" spans="1:9" ht="13.5" x14ac:dyDescent="0.25">
      <c r="A401" s="91" t="s">
        <v>626</v>
      </c>
      <c r="B401" s="92" t="s">
        <v>245</v>
      </c>
      <c r="C401" s="91" t="s">
        <v>626</v>
      </c>
      <c r="D401" s="91" t="s">
        <v>261</v>
      </c>
      <c r="E401" s="93">
        <v>35828</v>
      </c>
      <c r="F401" s="94">
        <f t="shared" ca="1" si="18"/>
        <v>18</v>
      </c>
      <c r="G401" s="95" t="s">
        <v>262</v>
      </c>
      <c r="H401" s="96">
        <v>31110</v>
      </c>
      <c r="I401" s="97">
        <v>1</v>
      </c>
    </row>
    <row r="402" spans="1:9" ht="13.5" x14ac:dyDescent="0.25">
      <c r="A402" s="91" t="s">
        <v>626</v>
      </c>
      <c r="B402" s="92" t="s">
        <v>280</v>
      </c>
      <c r="C402" s="91" t="s">
        <v>626</v>
      </c>
      <c r="D402" s="91" t="s">
        <v>261</v>
      </c>
      <c r="E402" s="93">
        <v>35831</v>
      </c>
      <c r="F402" s="94">
        <f t="shared" ca="1" si="18"/>
        <v>18</v>
      </c>
      <c r="G402" s="95" t="s">
        <v>276</v>
      </c>
      <c r="H402" s="96">
        <v>15910</v>
      </c>
      <c r="I402" s="97">
        <v>3</v>
      </c>
    </row>
    <row r="403" spans="1:9" ht="13.5" x14ac:dyDescent="0.25">
      <c r="A403" s="91" t="s">
        <v>626</v>
      </c>
      <c r="B403" s="92" t="s">
        <v>271</v>
      </c>
      <c r="C403" s="91" t="s">
        <v>626</v>
      </c>
      <c r="D403" s="91" t="s">
        <v>261</v>
      </c>
      <c r="E403" s="93">
        <v>35856</v>
      </c>
      <c r="F403" s="94">
        <f t="shared" ca="1" si="18"/>
        <v>18</v>
      </c>
      <c r="G403" s="95" t="s">
        <v>262</v>
      </c>
      <c r="H403" s="96">
        <v>47295</v>
      </c>
      <c r="I403" s="97">
        <v>4</v>
      </c>
    </row>
    <row r="404" spans="1:9" ht="13.5" x14ac:dyDescent="0.25">
      <c r="A404" s="91" t="s">
        <v>626</v>
      </c>
      <c r="B404" s="92" t="s">
        <v>285</v>
      </c>
      <c r="C404" s="91" t="s">
        <v>626</v>
      </c>
      <c r="D404" s="91" t="s">
        <v>261</v>
      </c>
      <c r="E404" s="93">
        <v>37052</v>
      </c>
      <c r="F404" s="94">
        <f t="shared" ca="1" si="18"/>
        <v>15</v>
      </c>
      <c r="G404" s="95" t="s">
        <v>257</v>
      </c>
      <c r="H404" s="96">
        <v>31255</v>
      </c>
      <c r="I404" s="97">
        <v>5</v>
      </c>
    </row>
    <row r="405" spans="1:9" ht="13.5" x14ac:dyDescent="0.25">
      <c r="A405" s="91" t="s">
        <v>626</v>
      </c>
      <c r="B405" s="92" t="s">
        <v>251</v>
      </c>
      <c r="C405" s="91" t="s">
        <v>626</v>
      </c>
      <c r="D405" s="91" t="s">
        <v>247</v>
      </c>
      <c r="E405" s="93">
        <v>37186</v>
      </c>
      <c r="F405" s="94">
        <f t="shared" ca="1" si="18"/>
        <v>15</v>
      </c>
      <c r="G405" s="95"/>
      <c r="H405" s="96">
        <v>57520</v>
      </c>
      <c r="I405" s="97">
        <v>3</v>
      </c>
    </row>
    <row r="406" spans="1:9" ht="13.5" x14ac:dyDescent="0.25">
      <c r="A406" s="91" t="s">
        <v>626</v>
      </c>
      <c r="B406" s="92" t="s">
        <v>245</v>
      </c>
      <c r="C406" s="91" t="s">
        <v>626</v>
      </c>
      <c r="D406" s="91" t="s">
        <v>261</v>
      </c>
      <c r="E406" s="93">
        <v>37788</v>
      </c>
      <c r="F406" s="94">
        <f t="shared" ca="1" si="18"/>
        <v>13</v>
      </c>
      <c r="G406" s="95" t="s">
        <v>283</v>
      </c>
      <c r="H406" s="96">
        <v>47705</v>
      </c>
      <c r="I406" s="97">
        <v>5</v>
      </c>
    </row>
    <row r="407" spans="1:9" ht="13.5" x14ac:dyDescent="0.25">
      <c r="A407" s="91" t="s">
        <v>626</v>
      </c>
      <c r="B407" s="92" t="s">
        <v>245</v>
      </c>
      <c r="C407" s="91" t="s">
        <v>626</v>
      </c>
      <c r="D407" s="91" t="s">
        <v>261</v>
      </c>
      <c r="E407" s="93">
        <v>37788</v>
      </c>
      <c r="F407" s="94">
        <f t="shared" ca="1" si="18"/>
        <v>13</v>
      </c>
      <c r="G407" s="95" t="s">
        <v>283</v>
      </c>
      <c r="H407" s="96">
        <v>47705</v>
      </c>
      <c r="I407" s="97">
        <v>5</v>
      </c>
    </row>
    <row r="408" spans="1:9" ht="13.5" x14ac:dyDescent="0.25">
      <c r="A408" s="91" t="s">
        <v>626</v>
      </c>
      <c r="B408" s="92" t="s">
        <v>245</v>
      </c>
      <c r="C408" s="91" t="s">
        <v>626</v>
      </c>
      <c r="D408" s="91" t="s">
        <v>256</v>
      </c>
      <c r="E408" s="93">
        <v>37847</v>
      </c>
      <c r="F408" s="94">
        <f t="shared" ca="1" si="18"/>
        <v>13</v>
      </c>
      <c r="G408" s="95" t="s">
        <v>283</v>
      </c>
      <c r="H408" s="96">
        <v>47610</v>
      </c>
      <c r="I408" s="97">
        <v>4</v>
      </c>
    </row>
    <row r="409" spans="1:9" ht="13.5" x14ac:dyDescent="0.25">
      <c r="A409" s="91" t="s">
        <v>626</v>
      </c>
      <c r="B409" s="92" t="s">
        <v>271</v>
      </c>
      <c r="C409" s="91" t="s">
        <v>626</v>
      </c>
      <c r="D409" s="91" t="s">
        <v>247</v>
      </c>
      <c r="E409" s="93">
        <v>37973</v>
      </c>
      <c r="F409" s="94">
        <f t="shared" ca="1" si="18"/>
        <v>12</v>
      </c>
      <c r="G409" s="95"/>
      <c r="H409" s="96">
        <v>74470</v>
      </c>
      <c r="I409" s="97">
        <v>3</v>
      </c>
    </row>
    <row r="410" spans="1:9" ht="13.5" x14ac:dyDescent="0.25">
      <c r="A410" s="91" t="s">
        <v>626</v>
      </c>
      <c r="B410" s="92" t="s">
        <v>245</v>
      </c>
      <c r="C410" s="91" t="s">
        <v>626</v>
      </c>
      <c r="D410" s="91" t="s">
        <v>261</v>
      </c>
      <c r="E410" s="93">
        <v>38561</v>
      </c>
      <c r="F410" s="94">
        <f t="shared" ca="1" si="18"/>
        <v>11</v>
      </c>
      <c r="G410" s="95" t="s">
        <v>267</v>
      </c>
      <c r="H410" s="96">
        <v>38575</v>
      </c>
      <c r="I410" s="97">
        <v>2</v>
      </c>
    </row>
    <row r="411" spans="1:9" ht="13.5" x14ac:dyDescent="0.25">
      <c r="A411" s="91" t="s">
        <v>626</v>
      </c>
      <c r="B411" s="92" t="s">
        <v>266</v>
      </c>
      <c r="C411" s="91" t="s">
        <v>626</v>
      </c>
      <c r="D411" s="91" t="s">
        <v>256</v>
      </c>
      <c r="E411" s="93">
        <v>38773</v>
      </c>
      <c r="F411" s="94">
        <f t="shared" ca="1" si="18"/>
        <v>10</v>
      </c>
      <c r="G411" s="95" t="s">
        <v>283</v>
      </c>
      <c r="H411" s="96">
        <v>44150</v>
      </c>
      <c r="I411" s="97">
        <v>4</v>
      </c>
    </row>
    <row r="412" spans="1:9" ht="13.5" x14ac:dyDescent="0.25">
      <c r="A412" s="91" t="s">
        <v>626</v>
      </c>
      <c r="B412" s="92" t="s">
        <v>271</v>
      </c>
      <c r="C412" s="91" t="s">
        <v>626</v>
      </c>
      <c r="D412" s="91" t="s">
        <v>256</v>
      </c>
      <c r="E412" s="93">
        <v>38899</v>
      </c>
      <c r="F412" s="94">
        <f t="shared" ca="1" si="18"/>
        <v>10</v>
      </c>
      <c r="G412" s="95" t="s">
        <v>283</v>
      </c>
      <c r="H412" s="96">
        <v>45260</v>
      </c>
      <c r="I412" s="97">
        <v>4</v>
      </c>
    </row>
    <row r="413" spans="1:9" ht="13.5" x14ac:dyDescent="0.25">
      <c r="A413" s="91" t="s">
        <v>626</v>
      </c>
      <c r="B413" s="92" t="s">
        <v>271</v>
      </c>
      <c r="C413" s="91" t="s">
        <v>626</v>
      </c>
      <c r="D413" s="91" t="s">
        <v>261</v>
      </c>
      <c r="E413" s="93">
        <v>39041</v>
      </c>
      <c r="F413" s="94">
        <f t="shared" ca="1" si="18"/>
        <v>9</v>
      </c>
      <c r="G413" s="95" t="s">
        <v>283</v>
      </c>
      <c r="H413" s="96">
        <v>20040</v>
      </c>
      <c r="I413" s="97">
        <v>3</v>
      </c>
    </row>
    <row r="414" spans="1:9" ht="13.5" x14ac:dyDescent="0.25">
      <c r="A414" s="91" t="s">
        <v>626</v>
      </c>
      <c r="B414" s="92" t="s">
        <v>271</v>
      </c>
      <c r="C414" s="91" t="s">
        <v>626</v>
      </c>
      <c r="D414" s="91" t="s">
        <v>256</v>
      </c>
      <c r="E414" s="93">
        <v>39051</v>
      </c>
      <c r="F414" s="94">
        <f t="shared" ca="1" si="18"/>
        <v>9</v>
      </c>
      <c r="G414" s="95" t="s">
        <v>267</v>
      </c>
      <c r="H414" s="96">
        <v>75780</v>
      </c>
      <c r="I414" s="97">
        <v>2</v>
      </c>
    </row>
    <row r="415" spans="1:9" ht="13.5" x14ac:dyDescent="0.25">
      <c r="A415" s="91" t="s">
        <v>626</v>
      </c>
      <c r="B415" s="92" t="s">
        <v>271</v>
      </c>
      <c r="C415" s="91" t="s">
        <v>626</v>
      </c>
      <c r="D415" s="91" t="s">
        <v>256</v>
      </c>
      <c r="E415" s="93">
        <v>39137</v>
      </c>
      <c r="F415" s="94">
        <f t="shared" ca="1" si="18"/>
        <v>9</v>
      </c>
      <c r="G415" s="95" t="s">
        <v>257</v>
      </c>
      <c r="H415" s="96">
        <v>33970</v>
      </c>
      <c r="I415" s="97">
        <v>4</v>
      </c>
    </row>
    <row r="416" spans="1:9" ht="13.5" x14ac:dyDescent="0.25">
      <c r="A416" s="91" t="s">
        <v>626</v>
      </c>
      <c r="B416" s="92" t="s">
        <v>271</v>
      </c>
      <c r="C416" s="91" t="s">
        <v>626</v>
      </c>
      <c r="D416" s="91" t="s">
        <v>256</v>
      </c>
      <c r="E416" s="93">
        <v>39137</v>
      </c>
      <c r="F416" s="94">
        <f t="shared" ca="1" si="18"/>
        <v>9</v>
      </c>
      <c r="G416" s="95" t="s">
        <v>257</v>
      </c>
      <c r="H416" s="96">
        <v>33970</v>
      </c>
      <c r="I416" s="97">
        <v>4</v>
      </c>
    </row>
    <row r="417" spans="1:9" ht="13.5" x14ac:dyDescent="0.25">
      <c r="A417" s="98"/>
      <c r="B417" s="92"/>
      <c r="C417" s="98"/>
      <c r="D417" s="91"/>
      <c r="E417" s="93"/>
      <c r="F417" s="94"/>
      <c r="G417" s="95"/>
      <c r="H417" s="96"/>
      <c r="I417" s="97"/>
    </row>
    <row r="418" spans="1:9" ht="13.5" x14ac:dyDescent="0.25">
      <c r="A418" s="91" t="s">
        <v>678</v>
      </c>
      <c r="B418" s="92" t="s">
        <v>280</v>
      </c>
      <c r="C418" s="91" t="s">
        <v>678</v>
      </c>
      <c r="D418" s="91" t="s">
        <v>256</v>
      </c>
      <c r="E418" s="93">
        <v>32307</v>
      </c>
      <c r="F418" s="94">
        <f t="shared" ref="F418:F438" ca="1" si="19">DATEDIF(E418,TODAY(),"Y")</f>
        <v>28</v>
      </c>
      <c r="G418" s="95" t="s">
        <v>257</v>
      </c>
      <c r="H418" s="96">
        <v>39110</v>
      </c>
      <c r="I418" s="97">
        <v>5</v>
      </c>
    </row>
    <row r="419" spans="1:9" ht="13.5" x14ac:dyDescent="0.25">
      <c r="A419" s="91" t="s">
        <v>678</v>
      </c>
      <c r="B419" s="92" t="s">
        <v>285</v>
      </c>
      <c r="C419" s="91" t="s">
        <v>678</v>
      </c>
      <c r="D419" s="91" t="s">
        <v>256</v>
      </c>
      <c r="E419" s="93">
        <v>32431</v>
      </c>
      <c r="F419" s="94">
        <f t="shared" ca="1" si="19"/>
        <v>28</v>
      </c>
      <c r="G419" s="95" t="s">
        <v>257</v>
      </c>
      <c r="H419" s="96">
        <v>48550</v>
      </c>
      <c r="I419" s="97">
        <v>5</v>
      </c>
    </row>
    <row r="420" spans="1:9" ht="13.5" x14ac:dyDescent="0.25">
      <c r="A420" s="91" t="s">
        <v>678</v>
      </c>
      <c r="B420" s="92" t="s">
        <v>285</v>
      </c>
      <c r="C420" s="91" t="s">
        <v>678</v>
      </c>
      <c r="D420" s="91" t="s">
        <v>256</v>
      </c>
      <c r="E420" s="93">
        <v>32594</v>
      </c>
      <c r="F420" s="94">
        <f t="shared" ca="1" si="19"/>
        <v>27</v>
      </c>
      <c r="G420" s="95" t="s">
        <v>262</v>
      </c>
      <c r="H420" s="96">
        <v>87980</v>
      </c>
      <c r="I420" s="97">
        <v>1</v>
      </c>
    </row>
    <row r="421" spans="1:9" ht="13.5" x14ac:dyDescent="0.25">
      <c r="A421" s="91" t="s">
        <v>678</v>
      </c>
      <c r="B421" s="92" t="s">
        <v>285</v>
      </c>
      <c r="C421" s="91" t="s">
        <v>678</v>
      </c>
      <c r="D421" s="91" t="s">
        <v>256</v>
      </c>
      <c r="E421" s="93">
        <v>33811</v>
      </c>
      <c r="F421" s="94">
        <f t="shared" ca="1" si="19"/>
        <v>24</v>
      </c>
      <c r="G421" s="95" t="s">
        <v>283</v>
      </c>
      <c r="H421" s="96">
        <v>22860</v>
      </c>
      <c r="I421" s="97">
        <v>5</v>
      </c>
    </row>
    <row r="422" spans="1:9" ht="13.5" x14ac:dyDescent="0.25">
      <c r="A422" s="91" t="s">
        <v>678</v>
      </c>
      <c r="B422" s="92" t="s">
        <v>280</v>
      </c>
      <c r="C422" s="91" t="s">
        <v>678</v>
      </c>
      <c r="D422" s="91" t="s">
        <v>261</v>
      </c>
      <c r="E422" s="93">
        <v>33840</v>
      </c>
      <c r="F422" s="94">
        <f t="shared" ca="1" si="19"/>
        <v>24</v>
      </c>
      <c r="G422" s="95" t="s">
        <v>257</v>
      </c>
      <c r="H422" s="96">
        <v>49405</v>
      </c>
      <c r="I422" s="97">
        <v>4</v>
      </c>
    </row>
    <row r="423" spans="1:9" ht="13.5" x14ac:dyDescent="0.25">
      <c r="A423" s="91" t="s">
        <v>678</v>
      </c>
      <c r="B423" s="92" t="s">
        <v>271</v>
      </c>
      <c r="C423" s="91" t="s">
        <v>678</v>
      </c>
      <c r="D423" s="91" t="s">
        <v>252</v>
      </c>
      <c r="E423" s="93">
        <v>34071</v>
      </c>
      <c r="F423" s="94">
        <f t="shared" ca="1" si="19"/>
        <v>23</v>
      </c>
      <c r="G423" s="95"/>
      <c r="H423" s="96">
        <v>35312</v>
      </c>
      <c r="I423" s="97">
        <v>3</v>
      </c>
    </row>
    <row r="424" spans="1:9" ht="13.5" x14ac:dyDescent="0.25">
      <c r="A424" s="91" t="s">
        <v>678</v>
      </c>
      <c r="B424" s="92" t="s">
        <v>285</v>
      </c>
      <c r="C424" s="91" t="s">
        <v>678</v>
      </c>
      <c r="D424" s="91" t="s">
        <v>247</v>
      </c>
      <c r="E424" s="93">
        <v>34137</v>
      </c>
      <c r="F424" s="94">
        <f t="shared" ca="1" si="19"/>
        <v>23</v>
      </c>
      <c r="G424" s="95"/>
      <c r="H424" s="96">
        <v>54190</v>
      </c>
      <c r="I424" s="97">
        <v>4</v>
      </c>
    </row>
    <row r="425" spans="1:9" ht="13.5" x14ac:dyDescent="0.25">
      <c r="A425" s="91" t="s">
        <v>678</v>
      </c>
      <c r="B425" s="92" t="s">
        <v>251</v>
      </c>
      <c r="C425" s="91" t="s">
        <v>678</v>
      </c>
      <c r="D425" s="91" t="s">
        <v>247</v>
      </c>
      <c r="E425" s="93">
        <v>34414</v>
      </c>
      <c r="F425" s="94">
        <f t="shared" ca="1" si="19"/>
        <v>22</v>
      </c>
      <c r="G425" s="95"/>
      <c r="H425" s="96">
        <v>86470</v>
      </c>
      <c r="I425" s="97">
        <v>4</v>
      </c>
    </row>
    <row r="426" spans="1:9" ht="13.5" x14ac:dyDescent="0.25">
      <c r="A426" s="91" t="s">
        <v>678</v>
      </c>
      <c r="B426" s="92" t="s">
        <v>271</v>
      </c>
      <c r="C426" s="91" t="s">
        <v>678</v>
      </c>
      <c r="D426" s="91" t="s">
        <v>261</v>
      </c>
      <c r="E426" s="93">
        <v>34651</v>
      </c>
      <c r="F426" s="94">
        <f t="shared" ca="1" si="19"/>
        <v>22</v>
      </c>
      <c r="G426" s="95" t="s">
        <v>257</v>
      </c>
      <c r="H426" s="96">
        <v>20500</v>
      </c>
      <c r="I426" s="97">
        <v>3</v>
      </c>
    </row>
    <row r="427" spans="1:9" ht="13.5" x14ac:dyDescent="0.25">
      <c r="A427" s="91" t="s">
        <v>678</v>
      </c>
      <c r="B427" s="92" t="s">
        <v>245</v>
      </c>
      <c r="C427" s="91" t="s">
        <v>678</v>
      </c>
      <c r="D427" s="91" t="s">
        <v>247</v>
      </c>
      <c r="E427" s="93">
        <v>34737</v>
      </c>
      <c r="F427" s="94">
        <f t="shared" ca="1" si="19"/>
        <v>21</v>
      </c>
      <c r="G427" s="95"/>
      <c r="H427" s="96">
        <v>72480</v>
      </c>
      <c r="I427" s="97">
        <v>2</v>
      </c>
    </row>
    <row r="428" spans="1:9" ht="13.5" x14ac:dyDescent="0.25">
      <c r="A428" s="91" t="s">
        <v>678</v>
      </c>
      <c r="B428" s="92" t="s">
        <v>271</v>
      </c>
      <c r="C428" s="91" t="s">
        <v>678</v>
      </c>
      <c r="D428" s="91" t="s">
        <v>252</v>
      </c>
      <c r="E428" s="93">
        <v>34774</v>
      </c>
      <c r="F428" s="94">
        <f t="shared" ca="1" si="19"/>
        <v>21</v>
      </c>
      <c r="G428" s="95"/>
      <c r="H428" s="96">
        <v>21668</v>
      </c>
      <c r="I428" s="97">
        <v>4</v>
      </c>
    </row>
    <row r="429" spans="1:9" ht="13.5" x14ac:dyDescent="0.25">
      <c r="A429" s="91" t="s">
        <v>678</v>
      </c>
      <c r="B429" s="92" t="s">
        <v>271</v>
      </c>
      <c r="C429" s="91" t="s">
        <v>678</v>
      </c>
      <c r="D429" s="91" t="s">
        <v>256</v>
      </c>
      <c r="E429" s="93">
        <v>34865</v>
      </c>
      <c r="F429" s="94">
        <f t="shared" ca="1" si="19"/>
        <v>21</v>
      </c>
      <c r="G429" s="95" t="s">
        <v>283</v>
      </c>
      <c r="H429" s="96">
        <v>23520</v>
      </c>
      <c r="I429" s="97">
        <v>2</v>
      </c>
    </row>
    <row r="430" spans="1:9" ht="13.5" x14ac:dyDescent="0.25">
      <c r="A430" s="91" t="s">
        <v>678</v>
      </c>
      <c r="B430" s="92" t="s">
        <v>266</v>
      </c>
      <c r="C430" s="91" t="s">
        <v>678</v>
      </c>
      <c r="D430" s="91" t="s">
        <v>256</v>
      </c>
      <c r="E430" s="93">
        <v>35156</v>
      </c>
      <c r="F430" s="94">
        <f t="shared" ca="1" si="19"/>
        <v>20</v>
      </c>
      <c r="G430" s="95" t="s">
        <v>283</v>
      </c>
      <c r="H430" s="96">
        <v>68410</v>
      </c>
      <c r="I430" s="97">
        <v>5</v>
      </c>
    </row>
    <row r="431" spans="1:9" ht="13.5" x14ac:dyDescent="0.25">
      <c r="A431" s="91" t="s">
        <v>678</v>
      </c>
      <c r="B431" s="92" t="s">
        <v>280</v>
      </c>
      <c r="C431" s="91" t="s">
        <v>678</v>
      </c>
      <c r="D431" s="91" t="s">
        <v>256</v>
      </c>
      <c r="E431" s="93">
        <v>35257</v>
      </c>
      <c r="F431" s="94">
        <f t="shared" ca="1" si="19"/>
        <v>20</v>
      </c>
      <c r="G431" s="95" t="s">
        <v>276</v>
      </c>
      <c r="H431" s="96">
        <v>45450</v>
      </c>
      <c r="I431" s="97">
        <v>5</v>
      </c>
    </row>
    <row r="432" spans="1:9" ht="13.5" x14ac:dyDescent="0.25">
      <c r="A432" s="91" t="s">
        <v>678</v>
      </c>
      <c r="B432" s="92" t="s">
        <v>271</v>
      </c>
      <c r="C432" s="91" t="s">
        <v>678</v>
      </c>
      <c r="D432" s="91" t="s">
        <v>256</v>
      </c>
      <c r="E432" s="93">
        <v>35588</v>
      </c>
      <c r="F432" s="94">
        <f t="shared" ca="1" si="19"/>
        <v>19</v>
      </c>
      <c r="G432" s="95" t="s">
        <v>257</v>
      </c>
      <c r="H432" s="96">
        <v>71820</v>
      </c>
      <c r="I432" s="97">
        <v>2</v>
      </c>
    </row>
    <row r="433" spans="1:9" ht="13.5" x14ac:dyDescent="0.25">
      <c r="A433" s="91" t="s">
        <v>678</v>
      </c>
      <c r="B433" s="92" t="s">
        <v>245</v>
      </c>
      <c r="C433" s="91" t="s">
        <v>678</v>
      </c>
      <c r="D433" s="91" t="s">
        <v>247</v>
      </c>
      <c r="E433" s="93">
        <v>35926</v>
      </c>
      <c r="F433" s="94">
        <f t="shared" ca="1" si="19"/>
        <v>18</v>
      </c>
      <c r="G433" s="95"/>
      <c r="H433" s="96">
        <v>29540</v>
      </c>
      <c r="I433" s="97">
        <v>3</v>
      </c>
    </row>
    <row r="434" spans="1:9" ht="13.5" x14ac:dyDescent="0.25">
      <c r="A434" s="91" t="s">
        <v>678</v>
      </c>
      <c r="B434" s="92" t="s">
        <v>285</v>
      </c>
      <c r="C434" s="91" t="s">
        <v>678</v>
      </c>
      <c r="D434" s="91" t="s">
        <v>247</v>
      </c>
      <c r="E434" s="93">
        <v>36493</v>
      </c>
      <c r="F434" s="94">
        <f t="shared" ca="1" si="19"/>
        <v>16</v>
      </c>
      <c r="G434" s="95"/>
      <c r="H434" s="96">
        <v>78100</v>
      </c>
      <c r="I434" s="97">
        <v>3</v>
      </c>
    </row>
    <row r="435" spans="1:9" ht="13.5" x14ac:dyDescent="0.25">
      <c r="A435" s="91" t="s">
        <v>678</v>
      </c>
      <c r="B435" s="92" t="s">
        <v>266</v>
      </c>
      <c r="C435" s="91" t="s">
        <v>678</v>
      </c>
      <c r="D435" s="91" t="s">
        <v>252</v>
      </c>
      <c r="E435" s="93">
        <v>36517</v>
      </c>
      <c r="F435" s="94">
        <f t="shared" ca="1" si="19"/>
        <v>16</v>
      </c>
      <c r="G435" s="95"/>
      <c r="H435" s="96">
        <v>11044</v>
      </c>
      <c r="I435" s="97">
        <v>2</v>
      </c>
    </row>
    <row r="436" spans="1:9" ht="13.5" x14ac:dyDescent="0.25">
      <c r="A436" s="91" t="s">
        <v>678</v>
      </c>
      <c r="B436" s="92" t="s">
        <v>251</v>
      </c>
      <c r="C436" s="91" t="s">
        <v>678</v>
      </c>
      <c r="D436" s="91" t="s">
        <v>247</v>
      </c>
      <c r="E436" s="93">
        <v>39023</v>
      </c>
      <c r="F436" s="94">
        <f t="shared" ca="1" si="19"/>
        <v>10</v>
      </c>
      <c r="G436" s="95"/>
      <c r="H436" s="96">
        <v>74020</v>
      </c>
      <c r="I436" s="97">
        <v>2</v>
      </c>
    </row>
    <row r="437" spans="1:9" ht="13.5" x14ac:dyDescent="0.25">
      <c r="A437" s="91" t="s">
        <v>678</v>
      </c>
      <c r="B437" s="92" t="s">
        <v>271</v>
      </c>
      <c r="C437" s="91" t="s">
        <v>678</v>
      </c>
      <c r="D437" s="91" t="s">
        <v>247</v>
      </c>
      <c r="E437" s="93">
        <v>39062</v>
      </c>
      <c r="F437" s="94">
        <f t="shared" ca="1" si="19"/>
        <v>9</v>
      </c>
      <c r="G437" s="95"/>
      <c r="H437" s="96">
        <v>75100</v>
      </c>
      <c r="I437" s="97">
        <v>4</v>
      </c>
    </row>
    <row r="438" spans="1:9" ht="13.5" x14ac:dyDescent="0.25">
      <c r="A438" s="91" t="s">
        <v>678</v>
      </c>
      <c r="B438" s="92" t="s">
        <v>280</v>
      </c>
      <c r="C438" s="91" t="s">
        <v>678</v>
      </c>
      <c r="D438" s="91" t="s">
        <v>256</v>
      </c>
      <c r="E438" s="93">
        <v>39223</v>
      </c>
      <c r="F438" s="94">
        <f t="shared" ca="1" si="19"/>
        <v>9</v>
      </c>
      <c r="G438" s="95" t="s">
        <v>276</v>
      </c>
      <c r="H438" s="96">
        <v>62180</v>
      </c>
      <c r="I438" s="97">
        <v>2</v>
      </c>
    </row>
    <row r="439" spans="1:9" ht="13.5" x14ac:dyDescent="0.25">
      <c r="A439" s="98"/>
      <c r="B439" s="92"/>
      <c r="C439" s="98"/>
      <c r="D439" s="91"/>
      <c r="E439" s="93"/>
      <c r="F439" s="94"/>
      <c r="G439" s="95"/>
      <c r="H439" s="96"/>
      <c r="I439" s="97"/>
    </row>
    <row r="440" spans="1:9" ht="13.5" x14ac:dyDescent="0.25">
      <c r="A440" s="91" t="s">
        <v>700</v>
      </c>
      <c r="B440" s="92" t="s">
        <v>245</v>
      </c>
      <c r="C440" s="91" t="s">
        <v>700</v>
      </c>
      <c r="D440" s="91" t="s">
        <v>247</v>
      </c>
      <c r="E440" s="93">
        <v>33098</v>
      </c>
      <c r="F440" s="94">
        <f ca="1">DATEDIF(E440,TODAY(),"Y")</f>
        <v>26</v>
      </c>
      <c r="G440" s="95"/>
      <c r="H440" s="96">
        <v>71700</v>
      </c>
      <c r="I440" s="97">
        <v>2</v>
      </c>
    </row>
    <row r="441" spans="1:9" ht="13.5" x14ac:dyDescent="0.25">
      <c r="A441" s="91" t="s">
        <v>700</v>
      </c>
      <c r="B441" s="92" t="s">
        <v>285</v>
      </c>
      <c r="C441" s="91" t="s">
        <v>700</v>
      </c>
      <c r="D441" s="91" t="s">
        <v>256</v>
      </c>
      <c r="E441" s="93">
        <v>33504</v>
      </c>
      <c r="F441" s="94">
        <f ca="1">DATEDIF(E441,TODAY(),"Y")</f>
        <v>25</v>
      </c>
      <c r="G441" s="95" t="s">
        <v>257</v>
      </c>
      <c r="H441" s="96">
        <v>63190</v>
      </c>
      <c r="I441" s="97">
        <v>1</v>
      </c>
    </row>
    <row r="442" spans="1:9" ht="13.5" x14ac:dyDescent="0.25">
      <c r="A442" s="91" t="s">
        <v>700</v>
      </c>
      <c r="B442" s="92" t="s">
        <v>245</v>
      </c>
      <c r="C442" s="91" t="s">
        <v>700</v>
      </c>
      <c r="D442" s="91" t="s">
        <v>247</v>
      </c>
      <c r="E442" s="93">
        <v>34141</v>
      </c>
      <c r="F442" s="94">
        <f ca="1">DATEDIF(E442,TODAY(),"Y")</f>
        <v>23</v>
      </c>
      <c r="G442" s="95"/>
      <c r="H442" s="96">
        <v>25120</v>
      </c>
      <c r="I442" s="97">
        <v>2</v>
      </c>
    </row>
    <row r="443" spans="1:9" ht="13.5" x14ac:dyDescent="0.25">
      <c r="A443" s="91" t="s">
        <v>700</v>
      </c>
      <c r="B443" s="92" t="s">
        <v>271</v>
      </c>
      <c r="C443" s="91" t="s">
        <v>700</v>
      </c>
      <c r="D443" s="91" t="s">
        <v>247</v>
      </c>
      <c r="E443" s="93">
        <v>34257</v>
      </c>
      <c r="F443" s="94">
        <f ca="1">DATEDIF(E443,TODAY(),"Y")</f>
        <v>23</v>
      </c>
      <c r="G443" s="95"/>
      <c r="H443" s="96">
        <v>44820</v>
      </c>
      <c r="I443" s="97">
        <v>4</v>
      </c>
    </row>
    <row r="444" spans="1:9" ht="13.5" x14ac:dyDescent="0.25">
      <c r="A444" s="98"/>
      <c r="B444" s="92"/>
      <c r="C444" s="98"/>
      <c r="D444" s="91"/>
      <c r="E444" s="93"/>
      <c r="F444" s="94"/>
      <c r="G444" s="95"/>
      <c r="H444" s="96"/>
      <c r="I444" s="97"/>
    </row>
    <row r="445" spans="1:9" ht="13.5" x14ac:dyDescent="0.25">
      <c r="A445" s="91" t="s">
        <v>705</v>
      </c>
      <c r="B445" s="92" t="s">
        <v>285</v>
      </c>
      <c r="C445" s="91" t="s">
        <v>705</v>
      </c>
      <c r="D445" s="91" t="s">
        <v>256</v>
      </c>
      <c r="E445" s="93">
        <v>32147</v>
      </c>
      <c r="F445" s="94">
        <f t="shared" ref="F445:F488" ca="1" si="20">DATEDIF(E445,TODAY(),"Y")</f>
        <v>28</v>
      </c>
      <c r="G445" s="95" t="s">
        <v>267</v>
      </c>
      <c r="H445" s="96">
        <v>61470</v>
      </c>
      <c r="I445" s="97">
        <v>5</v>
      </c>
    </row>
    <row r="446" spans="1:9" ht="13.5" x14ac:dyDescent="0.25">
      <c r="A446" s="91" t="s">
        <v>705</v>
      </c>
      <c r="B446" s="92" t="s">
        <v>271</v>
      </c>
      <c r="C446" s="91" t="s">
        <v>705</v>
      </c>
      <c r="D446" s="91" t="s">
        <v>261</v>
      </c>
      <c r="E446" s="93">
        <v>32192</v>
      </c>
      <c r="F446" s="94">
        <f t="shared" ca="1" si="20"/>
        <v>28</v>
      </c>
      <c r="G446" s="95" t="s">
        <v>262</v>
      </c>
      <c r="H446" s="96">
        <v>35045</v>
      </c>
      <c r="I446" s="97">
        <v>4</v>
      </c>
    </row>
    <row r="447" spans="1:9" ht="13.5" x14ac:dyDescent="0.25">
      <c r="A447" s="91" t="s">
        <v>705</v>
      </c>
      <c r="B447" s="92" t="s">
        <v>271</v>
      </c>
      <c r="C447" s="91" t="s">
        <v>705</v>
      </c>
      <c r="D447" s="91" t="s">
        <v>256</v>
      </c>
      <c r="E447" s="93">
        <v>32268</v>
      </c>
      <c r="F447" s="94">
        <f t="shared" ca="1" si="20"/>
        <v>28</v>
      </c>
      <c r="G447" s="95" t="s">
        <v>257</v>
      </c>
      <c r="H447" s="96">
        <v>43580</v>
      </c>
      <c r="I447" s="97">
        <v>5</v>
      </c>
    </row>
    <row r="448" spans="1:9" ht="13.5" x14ac:dyDescent="0.25">
      <c r="A448" s="91" t="s">
        <v>705</v>
      </c>
      <c r="B448" s="92" t="s">
        <v>245</v>
      </c>
      <c r="C448" s="91" t="s">
        <v>705</v>
      </c>
      <c r="D448" s="91" t="s">
        <v>256</v>
      </c>
      <c r="E448" s="93">
        <v>32310</v>
      </c>
      <c r="F448" s="94">
        <f t="shared" ca="1" si="20"/>
        <v>28</v>
      </c>
      <c r="G448" s="95" t="s">
        <v>283</v>
      </c>
      <c r="H448" s="96">
        <v>43190</v>
      </c>
      <c r="I448" s="97">
        <v>2</v>
      </c>
    </row>
    <row r="449" spans="1:9" ht="13.5" x14ac:dyDescent="0.25">
      <c r="A449" s="91" t="s">
        <v>705</v>
      </c>
      <c r="B449" s="92" t="s">
        <v>245</v>
      </c>
      <c r="C449" s="91" t="s">
        <v>705</v>
      </c>
      <c r="D449" s="91" t="s">
        <v>256</v>
      </c>
      <c r="E449" s="93">
        <v>32326</v>
      </c>
      <c r="F449" s="94">
        <f t="shared" ca="1" si="20"/>
        <v>28</v>
      </c>
      <c r="G449" s="95" t="s">
        <v>257</v>
      </c>
      <c r="H449" s="96">
        <v>26360</v>
      </c>
      <c r="I449" s="97">
        <v>1</v>
      </c>
    </row>
    <row r="450" spans="1:9" ht="13.5" x14ac:dyDescent="0.25">
      <c r="A450" s="91" t="s">
        <v>705</v>
      </c>
      <c r="B450" s="92" t="s">
        <v>285</v>
      </c>
      <c r="C450" s="91" t="s">
        <v>705</v>
      </c>
      <c r="D450" s="91" t="s">
        <v>256</v>
      </c>
      <c r="E450" s="93">
        <v>32332</v>
      </c>
      <c r="F450" s="94">
        <f t="shared" ca="1" si="20"/>
        <v>28</v>
      </c>
      <c r="G450" s="95" t="s">
        <v>257</v>
      </c>
      <c r="H450" s="96">
        <v>79770</v>
      </c>
      <c r="I450" s="97">
        <v>4</v>
      </c>
    </row>
    <row r="451" spans="1:9" ht="13.5" x14ac:dyDescent="0.25">
      <c r="A451" s="91" t="s">
        <v>705</v>
      </c>
      <c r="B451" s="92" t="s">
        <v>285</v>
      </c>
      <c r="C451" s="91" t="s">
        <v>705</v>
      </c>
      <c r="D451" s="91" t="s">
        <v>247</v>
      </c>
      <c r="E451" s="93">
        <v>32501</v>
      </c>
      <c r="F451" s="94">
        <f t="shared" ca="1" si="20"/>
        <v>27</v>
      </c>
      <c r="G451" s="95"/>
      <c r="H451" s="96">
        <v>32650</v>
      </c>
      <c r="I451" s="97">
        <v>1</v>
      </c>
    </row>
    <row r="452" spans="1:9" ht="13.5" x14ac:dyDescent="0.25">
      <c r="A452" s="91" t="s">
        <v>705</v>
      </c>
      <c r="B452" s="92" t="s">
        <v>285</v>
      </c>
      <c r="C452" s="91" t="s">
        <v>705</v>
      </c>
      <c r="D452" s="91" t="s">
        <v>256</v>
      </c>
      <c r="E452" s="93">
        <v>32568</v>
      </c>
      <c r="F452" s="94">
        <f t="shared" ca="1" si="20"/>
        <v>27</v>
      </c>
      <c r="G452" s="95" t="s">
        <v>276</v>
      </c>
      <c r="H452" s="96">
        <v>75370</v>
      </c>
      <c r="I452" s="97">
        <v>2</v>
      </c>
    </row>
    <row r="453" spans="1:9" ht="13.5" x14ac:dyDescent="0.25">
      <c r="A453" s="91" t="s">
        <v>705</v>
      </c>
      <c r="B453" s="92" t="s">
        <v>271</v>
      </c>
      <c r="C453" s="91" t="s">
        <v>705</v>
      </c>
      <c r="D453" s="91" t="s">
        <v>256</v>
      </c>
      <c r="E453" s="93">
        <v>32571</v>
      </c>
      <c r="F453" s="94">
        <f t="shared" ca="1" si="20"/>
        <v>27</v>
      </c>
      <c r="G453" s="95" t="s">
        <v>276</v>
      </c>
      <c r="H453" s="96">
        <v>46910</v>
      </c>
      <c r="I453" s="97">
        <v>3</v>
      </c>
    </row>
    <row r="454" spans="1:9" ht="13.5" x14ac:dyDescent="0.25">
      <c r="A454" s="91" t="s">
        <v>705</v>
      </c>
      <c r="B454" s="92" t="s">
        <v>285</v>
      </c>
      <c r="C454" s="91" t="s">
        <v>705</v>
      </c>
      <c r="D454" s="91" t="s">
        <v>256</v>
      </c>
      <c r="E454" s="93">
        <v>32618</v>
      </c>
      <c r="F454" s="94">
        <f t="shared" ca="1" si="20"/>
        <v>27</v>
      </c>
      <c r="G454" s="95" t="s">
        <v>262</v>
      </c>
      <c r="H454" s="96">
        <v>68010</v>
      </c>
      <c r="I454" s="97">
        <v>1</v>
      </c>
    </row>
    <row r="455" spans="1:9" ht="13.5" x14ac:dyDescent="0.25">
      <c r="A455" s="91" t="s">
        <v>705</v>
      </c>
      <c r="B455" s="92" t="s">
        <v>271</v>
      </c>
      <c r="C455" s="91" t="s">
        <v>705</v>
      </c>
      <c r="D455" s="91" t="s">
        <v>256</v>
      </c>
      <c r="E455" s="93">
        <v>32801</v>
      </c>
      <c r="F455" s="94">
        <f t="shared" ca="1" si="20"/>
        <v>27</v>
      </c>
      <c r="G455" s="95" t="s">
        <v>283</v>
      </c>
      <c r="H455" s="96">
        <v>73030</v>
      </c>
      <c r="I455" s="97">
        <v>5</v>
      </c>
    </row>
    <row r="456" spans="1:9" ht="13.5" x14ac:dyDescent="0.25">
      <c r="A456" s="91" t="s">
        <v>705</v>
      </c>
      <c r="B456" s="92" t="s">
        <v>251</v>
      </c>
      <c r="C456" s="91" t="s">
        <v>705</v>
      </c>
      <c r="D456" s="91" t="s">
        <v>247</v>
      </c>
      <c r="E456" s="93">
        <v>33192</v>
      </c>
      <c r="F456" s="94">
        <f t="shared" ca="1" si="20"/>
        <v>26</v>
      </c>
      <c r="G456" s="95"/>
      <c r="H456" s="96">
        <v>66710</v>
      </c>
      <c r="I456" s="97">
        <v>2</v>
      </c>
    </row>
    <row r="457" spans="1:9" ht="13.5" x14ac:dyDescent="0.25">
      <c r="A457" s="91" t="s">
        <v>705</v>
      </c>
      <c r="B457" s="92" t="s">
        <v>251</v>
      </c>
      <c r="C457" s="91" t="s">
        <v>705</v>
      </c>
      <c r="D457" s="91" t="s">
        <v>261</v>
      </c>
      <c r="E457" s="93">
        <v>33307</v>
      </c>
      <c r="F457" s="94">
        <f t="shared" ca="1" si="20"/>
        <v>25</v>
      </c>
      <c r="G457" s="95" t="s">
        <v>257</v>
      </c>
      <c r="H457" s="96">
        <v>13435</v>
      </c>
      <c r="I457" s="97">
        <v>1</v>
      </c>
    </row>
    <row r="458" spans="1:9" ht="13.5" x14ac:dyDescent="0.25">
      <c r="A458" s="91" t="s">
        <v>705</v>
      </c>
      <c r="B458" s="92" t="s">
        <v>280</v>
      </c>
      <c r="C458" s="91" t="s">
        <v>705</v>
      </c>
      <c r="D458" s="91" t="s">
        <v>256</v>
      </c>
      <c r="E458" s="93">
        <v>33392</v>
      </c>
      <c r="F458" s="94">
        <f t="shared" ca="1" si="20"/>
        <v>25</v>
      </c>
      <c r="G458" s="95" t="s">
        <v>257</v>
      </c>
      <c r="H458" s="96">
        <v>87030</v>
      </c>
      <c r="I458" s="97">
        <v>3</v>
      </c>
    </row>
    <row r="459" spans="1:9" ht="13.5" x14ac:dyDescent="0.25">
      <c r="A459" s="91" t="s">
        <v>705</v>
      </c>
      <c r="B459" s="92" t="s">
        <v>285</v>
      </c>
      <c r="C459" s="91" t="s">
        <v>705</v>
      </c>
      <c r="D459" s="91" t="s">
        <v>256</v>
      </c>
      <c r="E459" s="93">
        <v>33427</v>
      </c>
      <c r="F459" s="94">
        <f t="shared" ca="1" si="20"/>
        <v>25</v>
      </c>
      <c r="G459" s="95" t="s">
        <v>257</v>
      </c>
      <c r="H459" s="96">
        <v>88850</v>
      </c>
      <c r="I459" s="97">
        <v>3</v>
      </c>
    </row>
    <row r="460" spans="1:9" ht="13.5" x14ac:dyDescent="0.25">
      <c r="A460" s="91" t="s">
        <v>705</v>
      </c>
      <c r="B460" s="92" t="s">
        <v>266</v>
      </c>
      <c r="C460" s="91" t="s">
        <v>705</v>
      </c>
      <c r="D460" s="91" t="s">
        <v>256</v>
      </c>
      <c r="E460" s="93">
        <v>33430</v>
      </c>
      <c r="F460" s="94">
        <f t="shared" ca="1" si="20"/>
        <v>25</v>
      </c>
      <c r="G460" s="95" t="s">
        <v>267</v>
      </c>
      <c r="H460" s="96">
        <v>77840</v>
      </c>
      <c r="I460" s="97">
        <v>2</v>
      </c>
    </row>
    <row r="461" spans="1:9" ht="13.5" x14ac:dyDescent="0.25">
      <c r="A461" s="91" t="s">
        <v>705</v>
      </c>
      <c r="B461" s="92" t="s">
        <v>271</v>
      </c>
      <c r="C461" s="91" t="s">
        <v>705</v>
      </c>
      <c r="D461" s="91" t="s">
        <v>256</v>
      </c>
      <c r="E461" s="93">
        <v>33591</v>
      </c>
      <c r="F461" s="94">
        <f t="shared" ca="1" si="20"/>
        <v>24</v>
      </c>
      <c r="G461" s="95" t="s">
        <v>257</v>
      </c>
      <c r="H461" s="96">
        <v>25830</v>
      </c>
      <c r="I461" s="97">
        <v>5</v>
      </c>
    </row>
    <row r="462" spans="1:9" ht="13.5" x14ac:dyDescent="0.25">
      <c r="A462" s="91" t="s">
        <v>705</v>
      </c>
      <c r="B462" s="92" t="s">
        <v>280</v>
      </c>
      <c r="C462" s="91" t="s">
        <v>705</v>
      </c>
      <c r="D462" s="91" t="s">
        <v>256</v>
      </c>
      <c r="E462" s="93">
        <v>33823</v>
      </c>
      <c r="F462" s="94">
        <f t="shared" ca="1" si="20"/>
        <v>24</v>
      </c>
      <c r="G462" s="95" t="s">
        <v>283</v>
      </c>
      <c r="H462" s="96">
        <v>63080</v>
      </c>
      <c r="I462" s="97">
        <v>5</v>
      </c>
    </row>
    <row r="463" spans="1:9" ht="13.5" x14ac:dyDescent="0.25">
      <c r="A463" s="91" t="s">
        <v>705</v>
      </c>
      <c r="B463" s="92" t="s">
        <v>245</v>
      </c>
      <c r="C463" s="91" t="s">
        <v>705</v>
      </c>
      <c r="D463" s="91" t="s">
        <v>256</v>
      </c>
      <c r="E463" s="93">
        <v>34029</v>
      </c>
      <c r="F463" s="94">
        <f t="shared" ca="1" si="20"/>
        <v>23</v>
      </c>
      <c r="G463" s="95" t="s">
        <v>283</v>
      </c>
      <c r="H463" s="96">
        <v>43410</v>
      </c>
      <c r="I463" s="97">
        <v>1</v>
      </c>
    </row>
    <row r="464" spans="1:9" ht="13.5" x14ac:dyDescent="0.25">
      <c r="A464" s="91" t="s">
        <v>705</v>
      </c>
      <c r="B464" s="92" t="s">
        <v>285</v>
      </c>
      <c r="C464" s="91" t="s">
        <v>705</v>
      </c>
      <c r="D464" s="91" t="s">
        <v>256</v>
      </c>
      <c r="E464" s="93">
        <v>34069</v>
      </c>
      <c r="F464" s="94">
        <f t="shared" ca="1" si="20"/>
        <v>23</v>
      </c>
      <c r="G464" s="95" t="s">
        <v>276</v>
      </c>
      <c r="H464" s="96">
        <v>67230</v>
      </c>
      <c r="I464" s="97">
        <v>4</v>
      </c>
    </row>
    <row r="465" spans="1:9" ht="13.5" x14ac:dyDescent="0.25">
      <c r="A465" s="91" t="s">
        <v>705</v>
      </c>
      <c r="B465" s="92" t="s">
        <v>271</v>
      </c>
      <c r="C465" s="91" t="s">
        <v>705</v>
      </c>
      <c r="D465" s="91" t="s">
        <v>256</v>
      </c>
      <c r="E465" s="93">
        <v>34102</v>
      </c>
      <c r="F465" s="94">
        <f t="shared" ca="1" si="20"/>
        <v>23</v>
      </c>
      <c r="G465" s="95" t="s">
        <v>262</v>
      </c>
      <c r="H465" s="96">
        <v>77950</v>
      </c>
      <c r="I465" s="97">
        <v>4</v>
      </c>
    </row>
    <row r="466" spans="1:9" ht="13.5" x14ac:dyDescent="0.25">
      <c r="A466" s="91" t="s">
        <v>705</v>
      </c>
      <c r="B466" s="92" t="s">
        <v>285</v>
      </c>
      <c r="C466" s="91" t="s">
        <v>705</v>
      </c>
      <c r="D466" s="91" t="s">
        <v>256</v>
      </c>
      <c r="E466" s="93">
        <v>34593</v>
      </c>
      <c r="F466" s="94">
        <f t="shared" ca="1" si="20"/>
        <v>22</v>
      </c>
      <c r="G466" s="95" t="s">
        <v>257</v>
      </c>
      <c r="H466" s="96">
        <v>68520</v>
      </c>
      <c r="I466" s="97">
        <v>5</v>
      </c>
    </row>
    <row r="467" spans="1:9" ht="13.5" x14ac:dyDescent="0.25">
      <c r="A467" s="91" t="s">
        <v>705</v>
      </c>
      <c r="B467" s="92" t="s">
        <v>280</v>
      </c>
      <c r="C467" s="91" t="s">
        <v>705</v>
      </c>
      <c r="D467" s="91" t="s">
        <v>247</v>
      </c>
      <c r="E467" s="93">
        <v>34611</v>
      </c>
      <c r="F467" s="94">
        <f t="shared" ca="1" si="20"/>
        <v>22</v>
      </c>
      <c r="G467" s="95"/>
      <c r="H467" s="96">
        <v>63330</v>
      </c>
      <c r="I467" s="97">
        <v>4</v>
      </c>
    </row>
    <row r="468" spans="1:9" ht="13.5" x14ac:dyDescent="0.25">
      <c r="A468" s="91" t="s">
        <v>705</v>
      </c>
      <c r="B468" s="92" t="s">
        <v>271</v>
      </c>
      <c r="C468" s="91" t="s">
        <v>705</v>
      </c>
      <c r="D468" s="91" t="s">
        <v>256</v>
      </c>
      <c r="E468" s="93">
        <v>34659</v>
      </c>
      <c r="F468" s="94">
        <f t="shared" ca="1" si="20"/>
        <v>21</v>
      </c>
      <c r="G468" s="95" t="s">
        <v>257</v>
      </c>
      <c r="H468" s="96">
        <v>74530</v>
      </c>
      <c r="I468" s="97">
        <v>5</v>
      </c>
    </row>
    <row r="469" spans="1:9" ht="13.5" x14ac:dyDescent="0.25">
      <c r="A469" s="91" t="s">
        <v>705</v>
      </c>
      <c r="B469" s="92" t="s">
        <v>271</v>
      </c>
      <c r="C469" s="91" t="s">
        <v>705</v>
      </c>
      <c r="D469" s="91" t="s">
        <v>252</v>
      </c>
      <c r="E469" s="93">
        <v>35019</v>
      </c>
      <c r="F469" s="94">
        <f t="shared" ca="1" si="20"/>
        <v>21</v>
      </c>
      <c r="G469" s="95"/>
      <c r="H469" s="96">
        <v>39764</v>
      </c>
      <c r="I469" s="97">
        <v>1</v>
      </c>
    </row>
    <row r="470" spans="1:9" ht="13.5" x14ac:dyDescent="0.25">
      <c r="A470" s="91" t="s">
        <v>705</v>
      </c>
      <c r="B470" s="92" t="s">
        <v>271</v>
      </c>
      <c r="C470" s="91" t="s">
        <v>705</v>
      </c>
      <c r="D470" s="91" t="s">
        <v>247</v>
      </c>
      <c r="E470" s="93">
        <v>35313</v>
      </c>
      <c r="F470" s="94">
        <f t="shared" ca="1" si="20"/>
        <v>20</v>
      </c>
      <c r="G470" s="95"/>
      <c r="H470" s="96">
        <v>30300</v>
      </c>
      <c r="I470" s="97">
        <v>1</v>
      </c>
    </row>
    <row r="471" spans="1:9" ht="13.5" x14ac:dyDescent="0.25">
      <c r="A471" s="91" t="s">
        <v>705</v>
      </c>
      <c r="B471" s="92" t="s">
        <v>285</v>
      </c>
      <c r="C471" s="91" t="s">
        <v>705</v>
      </c>
      <c r="D471" s="91" t="s">
        <v>261</v>
      </c>
      <c r="E471" s="93">
        <v>35385</v>
      </c>
      <c r="F471" s="94">
        <f t="shared" ca="1" si="20"/>
        <v>20</v>
      </c>
      <c r="G471" s="95" t="s">
        <v>283</v>
      </c>
      <c r="H471" s="96">
        <v>29005</v>
      </c>
      <c r="I471" s="97">
        <v>1</v>
      </c>
    </row>
    <row r="472" spans="1:9" ht="13.5" x14ac:dyDescent="0.25">
      <c r="A472" s="91" t="s">
        <v>705</v>
      </c>
      <c r="B472" s="92" t="s">
        <v>245</v>
      </c>
      <c r="C472" s="91" t="s">
        <v>705</v>
      </c>
      <c r="D472" s="91" t="s">
        <v>261</v>
      </c>
      <c r="E472" s="93">
        <v>36160</v>
      </c>
      <c r="F472" s="94">
        <f t="shared" ca="1" si="20"/>
        <v>17</v>
      </c>
      <c r="G472" s="95" t="s">
        <v>257</v>
      </c>
      <c r="H472" s="96">
        <v>33810</v>
      </c>
      <c r="I472" s="97">
        <v>5</v>
      </c>
    </row>
    <row r="473" spans="1:9" ht="13.5" x14ac:dyDescent="0.25">
      <c r="A473" s="91" t="s">
        <v>705</v>
      </c>
      <c r="B473" s="92" t="s">
        <v>271</v>
      </c>
      <c r="C473" s="91" t="s">
        <v>705</v>
      </c>
      <c r="D473" s="91" t="s">
        <v>252</v>
      </c>
      <c r="E473" s="93">
        <v>36401</v>
      </c>
      <c r="F473" s="94">
        <f t="shared" ca="1" si="20"/>
        <v>17</v>
      </c>
      <c r="G473" s="95"/>
      <c r="H473" s="96">
        <v>21648</v>
      </c>
      <c r="I473" s="97">
        <v>2</v>
      </c>
    </row>
    <row r="474" spans="1:9" ht="13.5" x14ac:dyDescent="0.25">
      <c r="A474" s="91" t="s">
        <v>705</v>
      </c>
      <c r="B474" s="92" t="s">
        <v>285</v>
      </c>
      <c r="C474" s="91" t="s">
        <v>705</v>
      </c>
      <c r="D474" s="91" t="s">
        <v>252</v>
      </c>
      <c r="E474" s="93">
        <v>36834</v>
      </c>
      <c r="F474" s="94">
        <f t="shared" ca="1" si="20"/>
        <v>16</v>
      </c>
      <c r="G474" s="95"/>
      <c r="H474" s="96">
        <v>33512</v>
      </c>
      <c r="I474" s="97">
        <v>4</v>
      </c>
    </row>
    <row r="475" spans="1:9" ht="13.5" x14ac:dyDescent="0.25">
      <c r="A475" s="91" t="s">
        <v>705</v>
      </c>
      <c r="B475" s="92" t="s">
        <v>271</v>
      </c>
      <c r="C475" s="91" t="s">
        <v>705</v>
      </c>
      <c r="D475" s="91" t="s">
        <v>256</v>
      </c>
      <c r="E475" s="93">
        <v>36917</v>
      </c>
      <c r="F475" s="94">
        <f t="shared" ca="1" si="20"/>
        <v>15</v>
      </c>
      <c r="G475" s="95" t="s">
        <v>283</v>
      </c>
      <c r="H475" s="96">
        <v>86200</v>
      </c>
      <c r="I475" s="97">
        <v>3</v>
      </c>
    </row>
    <row r="476" spans="1:9" ht="13.5" x14ac:dyDescent="0.25">
      <c r="A476" s="91" t="s">
        <v>705</v>
      </c>
      <c r="B476" s="92" t="s">
        <v>285</v>
      </c>
      <c r="C476" s="91" t="s">
        <v>705</v>
      </c>
      <c r="D476" s="91" t="s">
        <v>256</v>
      </c>
      <c r="E476" s="93">
        <v>37497</v>
      </c>
      <c r="F476" s="94">
        <f t="shared" ca="1" si="20"/>
        <v>14</v>
      </c>
      <c r="G476" s="95" t="s">
        <v>257</v>
      </c>
      <c r="H476" s="96">
        <v>47060</v>
      </c>
      <c r="I476" s="97">
        <v>4</v>
      </c>
    </row>
    <row r="477" spans="1:9" ht="13.5" x14ac:dyDescent="0.25">
      <c r="A477" s="91" t="s">
        <v>705</v>
      </c>
      <c r="B477" s="92" t="s">
        <v>285</v>
      </c>
      <c r="C477" s="91" t="s">
        <v>705</v>
      </c>
      <c r="D477" s="91" t="s">
        <v>256</v>
      </c>
      <c r="E477" s="93">
        <v>37606</v>
      </c>
      <c r="F477" s="94">
        <f t="shared" ca="1" si="20"/>
        <v>13</v>
      </c>
      <c r="G477" s="95" t="s">
        <v>262</v>
      </c>
      <c r="H477" s="96">
        <v>27560</v>
      </c>
      <c r="I477" s="97">
        <v>2</v>
      </c>
    </row>
    <row r="478" spans="1:9" ht="13.5" x14ac:dyDescent="0.25">
      <c r="A478" s="91" t="s">
        <v>705</v>
      </c>
      <c r="B478" s="92" t="s">
        <v>251</v>
      </c>
      <c r="C478" s="91" t="s">
        <v>705</v>
      </c>
      <c r="D478" s="91" t="s">
        <v>261</v>
      </c>
      <c r="E478" s="93">
        <v>37989</v>
      </c>
      <c r="F478" s="94">
        <f t="shared" ca="1" si="20"/>
        <v>12</v>
      </c>
      <c r="G478" s="95" t="s">
        <v>276</v>
      </c>
      <c r="H478" s="96">
        <v>47760</v>
      </c>
      <c r="I478" s="97">
        <v>3</v>
      </c>
    </row>
    <row r="479" spans="1:9" ht="13.5" x14ac:dyDescent="0.25">
      <c r="A479" s="91" t="s">
        <v>705</v>
      </c>
      <c r="B479" s="92" t="s">
        <v>285</v>
      </c>
      <c r="C479" s="91" t="s">
        <v>705</v>
      </c>
      <c r="D479" s="91" t="s">
        <v>256</v>
      </c>
      <c r="E479" s="93">
        <v>38094</v>
      </c>
      <c r="F479" s="94">
        <f t="shared" ca="1" si="20"/>
        <v>12</v>
      </c>
      <c r="G479" s="95" t="s">
        <v>267</v>
      </c>
      <c r="H479" s="96">
        <v>50990</v>
      </c>
      <c r="I479" s="97">
        <v>4</v>
      </c>
    </row>
    <row r="480" spans="1:9" ht="13.5" x14ac:dyDescent="0.25">
      <c r="A480" s="91" t="s">
        <v>705</v>
      </c>
      <c r="B480" s="92" t="s">
        <v>245</v>
      </c>
      <c r="C480" s="91" t="s">
        <v>705</v>
      </c>
      <c r="D480" s="91" t="s">
        <v>256</v>
      </c>
      <c r="E480" s="93">
        <v>38347</v>
      </c>
      <c r="F480" s="94">
        <f t="shared" ca="1" si="20"/>
        <v>11</v>
      </c>
      <c r="G480" s="95" t="s">
        <v>276</v>
      </c>
      <c r="H480" s="96">
        <v>80880</v>
      </c>
      <c r="I480" s="97">
        <v>1</v>
      </c>
    </row>
    <row r="481" spans="1:9" ht="13.5" x14ac:dyDescent="0.25">
      <c r="A481" s="91" t="s">
        <v>705</v>
      </c>
      <c r="B481" s="92" t="s">
        <v>266</v>
      </c>
      <c r="C481" s="91" t="s">
        <v>705</v>
      </c>
      <c r="D481" s="91" t="s">
        <v>256</v>
      </c>
      <c r="E481" s="93">
        <v>38368</v>
      </c>
      <c r="F481" s="94">
        <f t="shared" ca="1" si="20"/>
        <v>11</v>
      </c>
      <c r="G481" s="95" t="s">
        <v>283</v>
      </c>
      <c r="H481" s="96">
        <v>80090</v>
      </c>
      <c r="I481" s="97">
        <v>2</v>
      </c>
    </row>
    <row r="482" spans="1:9" ht="13.5" x14ac:dyDescent="0.25">
      <c r="A482" s="91" t="s">
        <v>705</v>
      </c>
      <c r="B482" s="92" t="s">
        <v>280</v>
      </c>
      <c r="C482" s="91" t="s">
        <v>705</v>
      </c>
      <c r="D482" s="91" t="s">
        <v>247</v>
      </c>
      <c r="E482" s="93">
        <v>38473</v>
      </c>
      <c r="F482" s="94">
        <f t="shared" ca="1" si="20"/>
        <v>11</v>
      </c>
      <c r="G482" s="95"/>
      <c r="H482" s="96">
        <v>54000</v>
      </c>
      <c r="I482" s="97">
        <v>3</v>
      </c>
    </row>
    <row r="483" spans="1:9" ht="13.5" x14ac:dyDescent="0.25">
      <c r="A483" s="91" t="s">
        <v>705</v>
      </c>
      <c r="B483" s="92" t="s">
        <v>251</v>
      </c>
      <c r="C483" s="91" t="s">
        <v>705</v>
      </c>
      <c r="D483" s="91" t="s">
        <v>256</v>
      </c>
      <c r="E483" s="93">
        <v>39060</v>
      </c>
      <c r="F483" s="94">
        <f t="shared" ca="1" si="20"/>
        <v>9</v>
      </c>
      <c r="G483" s="95" t="s">
        <v>257</v>
      </c>
      <c r="H483" s="96">
        <v>66840</v>
      </c>
      <c r="I483" s="97">
        <v>4</v>
      </c>
    </row>
    <row r="484" spans="1:9" ht="13.5" x14ac:dyDescent="0.25">
      <c r="A484" s="91" t="s">
        <v>705</v>
      </c>
      <c r="B484" s="92" t="s">
        <v>266</v>
      </c>
      <c r="C484" s="91" t="s">
        <v>705</v>
      </c>
      <c r="D484" s="91" t="s">
        <v>261</v>
      </c>
      <c r="E484" s="99">
        <v>39083</v>
      </c>
      <c r="F484" s="94">
        <f t="shared" ca="1" si="20"/>
        <v>9</v>
      </c>
      <c r="G484" s="95" t="s">
        <v>257</v>
      </c>
      <c r="H484" s="96">
        <v>16925</v>
      </c>
      <c r="I484" s="97">
        <v>1</v>
      </c>
    </row>
    <row r="485" spans="1:9" ht="13.5" x14ac:dyDescent="0.25">
      <c r="A485" s="91" t="s">
        <v>705</v>
      </c>
      <c r="B485" s="92" t="s">
        <v>245</v>
      </c>
      <c r="C485" s="91" t="s">
        <v>705</v>
      </c>
      <c r="D485" s="91" t="s">
        <v>252</v>
      </c>
      <c r="E485" s="99">
        <v>39093</v>
      </c>
      <c r="F485" s="94">
        <f t="shared" ca="1" si="20"/>
        <v>9</v>
      </c>
      <c r="G485" s="95"/>
      <c r="H485" s="96">
        <v>15056</v>
      </c>
      <c r="I485" s="97">
        <v>5</v>
      </c>
    </row>
    <row r="486" spans="1:9" ht="13.5" x14ac:dyDescent="0.25">
      <c r="A486" s="91" t="s">
        <v>705</v>
      </c>
      <c r="B486" s="92" t="s">
        <v>271</v>
      </c>
      <c r="C486" s="91" t="s">
        <v>705</v>
      </c>
      <c r="D486" s="91" t="s">
        <v>252</v>
      </c>
      <c r="E486" s="99">
        <v>39142</v>
      </c>
      <c r="F486" s="94">
        <f t="shared" ca="1" si="20"/>
        <v>9</v>
      </c>
      <c r="G486" s="95"/>
      <c r="H486" s="96">
        <v>9180</v>
      </c>
      <c r="I486" s="97">
        <v>3</v>
      </c>
    </row>
    <row r="487" spans="1:9" ht="13.5" x14ac:dyDescent="0.25">
      <c r="A487" s="91" t="s">
        <v>705</v>
      </c>
      <c r="B487" s="92" t="s">
        <v>251</v>
      </c>
      <c r="C487" s="91" t="s">
        <v>705</v>
      </c>
      <c r="D487" s="91" t="s">
        <v>247</v>
      </c>
      <c r="E487" s="93">
        <v>39158</v>
      </c>
      <c r="F487" s="94">
        <f t="shared" ca="1" si="20"/>
        <v>9</v>
      </c>
      <c r="G487" s="95"/>
      <c r="H487" s="96">
        <v>39440</v>
      </c>
      <c r="I487" s="97">
        <v>4</v>
      </c>
    </row>
    <row r="488" spans="1:9" ht="13.5" x14ac:dyDescent="0.25">
      <c r="A488" s="91" t="s">
        <v>705</v>
      </c>
      <c r="B488" s="92" t="s">
        <v>251</v>
      </c>
      <c r="C488" s="91" t="s">
        <v>705</v>
      </c>
      <c r="D488" s="91" t="s">
        <v>247</v>
      </c>
      <c r="E488" s="99">
        <v>39310</v>
      </c>
      <c r="F488" s="94">
        <f t="shared" ca="1" si="20"/>
        <v>9</v>
      </c>
      <c r="G488" s="95"/>
      <c r="H488" s="96">
        <v>84300</v>
      </c>
      <c r="I488" s="97">
        <v>1</v>
      </c>
    </row>
    <row r="489" spans="1:9" ht="13.5" x14ac:dyDescent="0.25">
      <c r="A489" s="98"/>
      <c r="B489" s="92"/>
      <c r="C489" s="98"/>
      <c r="D489" s="91"/>
      <c r="E489" s="99"/>
      <c r="F489" s="94"/>
      <c r="G489" s="95"/>
      <c r="H489" s="96"/>
      <c r="I489" s="97"/>
    </row>
    <row r="490" spans="1:9" ht="13.5" x14ac:dyDescent="0.25">
      <c r="A490" s="91" t="s">
        <v>750</v>
      </c>
      <c r="B490" s="92" t="s">
        <v>285</v>
      </c>
      <c r="C490" s="91" t="s">
        <v>750</v>
      </c>
      <c r="D490" s="91" t="s">
        <v>261</v>
      </c>
      <c r="E490" s="93">
        <v>31802</v>
      </c>
      <c r="F490" s="94">
        <f t="shared" ref="F490:F505" ca="1" si="21">DATEDIF(E490,TODAY(),"Y")</f>
        <v>29</v>
      </c>
      <c r="G490" s="95" t="s">
        <v>267</v>
      </c>
      <c r="H490" s="96">
        <v>24815</v>
      </c>
      <c r="I490" s="97">
        <v>1</v>
      </c>
    </row>
    <row r="491" spans="1:9" ht="13.5" x14ac:dyDescent="0.25">
      <c r="A491" s="91" t="s">
        <v>750</v>
      </c>
      <c r="B491" s="92" t="s">
        <v>271</v>
      </c>
      <c r="C491" s="91" t="s">
        <v>750</v>
      </c>
      <c r="D491" s="91" t="s">
        <v>256</v>
      </c>
      <c r="E491" s="93">
        <v>31803</v>
      </c>
      <c r="F491" s="94">
        <f t="shared" ca="1" si="21"/>
        <v>29</v>
      </c>
      <c r="G491" s="95" t="s">
        <v>257</v>
      </c>
      <c r="H491" s="96">
        <v>32600</v>
      </c>
      <c r="I491" s="97">
        <v>5</v>
      </c>
    </row>
    <row r="492" spans="1:9" ht="13.5" x14ac:dyDescent="0.25">
      <c r="A492" s="91" t="s">
        <v>750</v>
      </c>
      <c r="B492" s="92" t="s">
        <v>285</v>
      </c>
      <c r="C492" s="91" t="s">
        <v>750</v>
      </c>
      <c r="D492" s="91" t="s">
        <v>252</v>
      </c>
      <c r="E492" s="93">
        <v>31848</v>
      </c>
      <c r="F492" s="94">
        <f t="shared" ca="1" si="21"/>
        <v>29</v>
      </c>
      <c r="G492" s="95"/>
      <c r="H492" s="96">
        <v>33232</v>
      </c>
      <c r="I492" s="97">
        <v>4</v>
      </c>
    </row>
    <row r="493" spans="1:9" ht="13.5" x14ac:dyDescent="0.25">
      <c r="A493" s="91" t="s">
        <v>750</v>
      </c>
      <c r="B493" s="92" t="s">
        <v>245</v>
      </c>
      <c r="C493" s="91" t="s">
        <v>750</v>
      </c>
      <c r="D493" s="91" t="s">
        <v>261</v>
      </c>
      <c r="E493" s="93">
        <v>31850</v>
      </c>
      <c r="F493" s="94">
        <f t="shared" ca="1" si="21"/>
        <v>29</v>
      </c>
      <c r="G493" s="95" t="s">
        <v>262</v>
      </c>
      <c r="H493" s="96">
        <v>39620</v>
      </c>
      <c r="I493" s="97">
        <v>5</v>
      </c>
    </row>
    <row r="494" spans="1:9" ht="13.5" x14ac:dyDescent="0.25">
      <c r="A494" s="91" t="s">
        <v>750</v>
      </c>
      <c r="B494" s="92" t="s">
        <v>266</v>
      </c>
      <c r="C494" s="91" t="s">
        <v>750</v>
      </c>
      <c r="D494" s="91" t="s">
        <v>256</v>
      </c>
      <c r="E494" s="93">
        <v>31869</v>
      </c>
      <c r="F494" s="94">
        <f t="shared" ca="1" si="21"/>
        <v>29</v>
      </c>
      <c r="G494" s="95" t="s">
        <v>283</v>
      </c>
      <c r="H494" s="96">
        <v>43110</v>
      </c>
      <c r="I494" s="97">
        <v>2</v>
      </c>
    </row>
    <row r="495" spans="1:9" ht="13.5" x14ac:dyDescent="0.25">
      <c r="A495" s="91" t="s">
        <v>750</v>
      </c>
      <c r="B495" s="92" t="s">
        <v>285</v>
      </c>
      <c r="C495" s="91" t="s">
        <v>750</v>
      </c>
      <c r="D495" s="91" t="s">
        <v>256</v>
      </c>
      <c r="E495" s="93">
        <v>31876</v>
      </c>
      <c r="F495" s="94">
        <f t="shared" ca="1" si="21"/>
        <v>29</v>
      </c>
      <c r="G495" s="95" t="s">
        <v>257</v>
      </c>
      <c r="H495" s="96">
        <v>40940</v>
      </c>
      <c r="I495" s="97">
        <v>3</v>
      </c>
    </row>
    <row r="496" spans="1:9" ht="13.5" x14ac:dyDescent="0.25">
      <c r="A496" s="91" t="s">
        <v>750</v>
      </c>
      <c r="B496" s="92" t="s">
        <v>285</v>
      </c>
      <c r="C496" s="91" t="s">
        <v>750</v>
      </c>
      <c r="D496" s="91" t="s">
        <v>256</v>
      </c>
      <c r="E496" s="93">
        <v>31936</v>
      </c>
      <c r="F496" s="94">
        <f t="shared" ca="1" si="21"/>
        <v>29</v>
      </c>
      <c r="G496" s="95" t="s">
        <v>257</v>
      </c>
      <c r="H496" s="96">
        <v>71730</v>
      </c>
      <c r="I496" s="97">
        <v>1</v>
      </c>
    </row>
    <row r="497" spans="1:9" ht="13.5" x14ac:dyDescent="0.25">
      <c r="A497" s="91" t="s">
        <v>750</v>
      </c>
      <c r="B497" s="92" t="s">
        <v>285</v>
      </c>
      <c r="C497" s="91" t="s">
        <v>750</v>
      </c>
      <c r="D497" s="91" t="s">
        <v>256</v>
      </c>
      <c r="E497" s="93">
        <v>31970</v>
      </c>
      <c r="F497" s="94">
        <f t="shared" ca="1" si="21"/>
        <v>29</v>
      </c>
      <c r="G497" s="95" t="s">
        <v>257</v>
      </c>
      <c r="H497" s="96">
        <v>87950</v>
      </c>
      <c r="I497" s="97">
        <v>4</v>
      </c>
    </row>
    <row r="498" spans="1:9" ht="13.5" x14ac:dyDescent="0.25">
      <c r="A498" s="91" t="s">
        <v>750</v>
      </c>
      <c r="B498" s="92" t="s">
        <v>251</v>
      </c>
      <c r="C498" s="91" t="s">
        <v>750</v>
      </c>
      <c r="D498" s="91" t="s">
        <v>247</v>
      </c>
      <c r="E498" s="93">
        <v>31976</v>
      </c>
      <c r="F498" s="94">
        <f t="shared" ca="1" si="21"/>
        <v>29</v>
      </c>
      <c r="G498" s="95"/>
      <c r="H498" s="96">
        <v>49070</v>
      </c>
      <c r="I498" s="97">
        <v>3</v>
      </c>
    </row>
    <row r="499" spans="1:9" ht="13.5" x14ac:dyDescent="0.25">
      <c r="A499" s="91" t="s">
        <v>750</v>
      </c>
      <c r="B499" s="92" t="s">
        <v>271</v>
      </c>
      <c r="C499" s="91" t="s">
        <v>750</v>
      </c>
      <c r="D499" s="91" t="s">
        <v>256</v>
      </c>
      <c r="E499" s="93">
        <v>32010</v>
      </c>
      <c r="F499" s="94">
        <f t="shared" ca="1" si="21"/>
        <v>29</v>
      </c>
      <c r="G499" s="95" t="s">
        <v>276</v>
      </c>
      <c r="H499" s="96">
        <v>35320</v>
      </c>
      <c r="I499" s="97">
        <v>3</v>
      </c>
    </row>
    <row r="500" spans="1:9" ht="13.5" x14ac:dyDescent="0.25">
      <c r="A500" s="91" t="s">
        <v>750</v>
      </c>
      <c r="B500" s="92" t="s">
        <v>285</v>
      </c>
      <c r="C500" s="91" t="s">
        <v>750</v>
      </c>
      <c r="D500" s="91" t="s">
        <v>261</v>
      </c>
      <c r="E500" s="93">
        <v>32039</v>
      </c>
      <c r="F500" s="94">
        <f t="shared" ca="1" si="21"/>
        <v>29</v>
      </c>
      <c r="G500" s="95" t="s">
        <v>276</v>
      </c>
      <c r="H500" s="96">
        <v>16015</v>
      </c>
      <c r="I500" s="97">
        <v>3</v>
      </c>
    </row>
    <row r="501" spans="1:9" ht="13.5" x14ac:dyDescent="0.25">
      <c r="A501" s="91" t="s">
        <v>750</v>
      </c>
      <c r="B501" s="92" t="s">
        <v>271</v>
      </c>
      <c r="C501" s="91" t="s">
        <v>750</v>
      </c>
      <c r="D501" s="91" t="s">
        <v>256</v>
      </c>
      <c r="E501" s="93">
        <v>32130</v>
      </c>
      <c r="F501" s="94">
        <f t="shared" ca="1" si="21"/>
        <v>28</v>
      </c>
      <c r="G501" s="95" t="s">
        <v>257</v>
      </c>
      <c r="H501" s="96">
        <v>69400</v>
      </c>
      <c r="I501" s="97">
        <v>5</v>
      </c>
    </row>
    <row r="502" spans="1:9" ht="13.5" x14ac:dyDescent="0.25">
      <c r="A502" s="91" t="s">
        <v>750</v>
      </c>
      <c r="B502" s="92" t="s">
        <v>271</v>
      </c>
      <c r="C502" s="91" t="s">
        <v>750</v>
      </c>
      <c r="D502" s="91" t="s">
        <v>256</v>
      </c>
      <c r="E502" s="93">
        <v>32150</v>
      </c>
      <c r="F502" s="94">
        <f t="shared" ca="1" si="21"/>
        <v>28</v>
      </c>
      <c r="G502" s="95" t="s">
        <v>283</v>
      </c>
      <c r="H502" s="96">
        <v>77720</v>
      </c>
      <c r="I502" s="97">
        <v>3</v>
      </c>
    </row>
    <row r="503" spans="1:9" ht="13.5" x14ac:dyDescent="0.25">
      <c r="A503" s="91" t="s">
        <v>750</v>
      </c>
      <c r="B503" s="92" t="s">
        <v>266</v>
      </c>
      <c r="C503" s="91" t="s">
        <v>750</v>
      </c>
      <c r="D503" s="91" t="s">
        <v>256</v>
      </c>
      <c r="E503" s="93">
        <v>32203</v>
      </c>
      <c r="F503" s="94">
        <f t="shared" ca="1" si="21"/>
        <v>28</v>
      </c>
      <c r="G503" s="95" t="s">
        <v>267</v>
      </c>
      <c r="H503" s="96">
        <v>44560</v>
      </c>
      <c r="I503" s="97">
        <v>2</v>
      </c>
    </row>
    <row r="504" spans="1:9" ht="13.5" x14ac:dyDescent="0.25">
      <c r="A504" s="91" t="s">
        <v>750</v>
      </c>
      <c r="B504" s="92" t="s">
        <v>271</v>
      </c>
      <c r="C504" s="91" t="s">
        <v>750</v>
      </c>
      <c r="D504" s="91" t="s">
        <v>256</v>
      </c>
      <c r="E504" s="93">
        <v>32226</v>
      </c>
      <c r="F504" s="94">
        <f t="shared" ca="1" si="21"/>
        <v>28</v>
      </c>
      <c r="G504" s="95" t="s">
        <v>257</v>
      </c>
      <c r="H504" s="96">
        <v>81530</v>
      </c>
      <c r="I504" s="97">
        <v>5</v>
      </c>
    </row>
    <row r="505" spans="1:9" ht="13.5" x14ac:dyDescent="0.25">
      <c r="A505" s="91" t="s">
        <v>750</v>
      </c>
      <c r="B505" s="92" t="s">
        <v>245</v>
      </c>
      <c r="C505" s="91" t="s">
        <v>750</v>
      </c>
      <c r="D505" s="91" t="s">
        <v>256</v>
      </c>
      <c r="E505" s="93">
        <v>32278</v>
      </c>
      <c r="F505" s="94">
        <f t="shared" ca="1" si="21"/>
        <v>28</v>
      </c>
      <c r="G505" s="95" t="s">
        <v>283</v>
      </c>
      <c r="H505" s="96">
        <v>44620</v>
      </c>
      <c r="I505" s="97">
        <v>5</v>
      </c>
    </row>
    <row r="506" spans="1:9" ht="13.5" x14ac:dyDescent="0.25">
      <c r="A506" s="98"/>
      <c r="B506" s="92"/>
      <c r="C506" s="98"/>
      <c r="D506" s="91"/>
      <c r="E506" s="93"/>
      <c r="F506" s="94"/>
      <c r="G506" s="95"/>
      <c r="H506" s="96"/>
      <c r="I506" s="97"/>
    </row>
    <row r="507" spans="1:9" ht="13.5" x14ac:dyDescent="0.25">
      <c r="A507" s="91" t="s">
        <v>767</v>
      </c>
      <c r="B507" s="92" t="s">
        <v>271</v>
      </c>
      <c r="C507" s="91" t="s">
        <v>767</v>
      </c>
      <c r="D507" s="91" t="s">
        <v>256</v>
      </c>
      <c r="E507" s="93">
        <v>31788</v>
      </c>
      <c r="F507" s="94">
        <f t="shared" ref="F507:F538" ca="1" si="22">DATEDIF(E507,TODAY(),"Y")</f>
        <v>29</v>
      </c>
      <c r="G507" s="95" t="s">
        <v>257</v>
      </c>
      <c r="H507" s="96">
        <v>48080</v>
      </c>
      <c r="I507" s="97">
        <v>2</v>
      </c>
    </row>
    <row r="508" spans="1:9" ht="13.5" x14ac:dyDescent="0.25">
      <c r="A508" s="91" t="s">
        <v>767</v>
      </c>
      <c r="B508" s="92" t="s">
        <v>285</v>
      </c>
      <c r="C508" s="91" t="s">
        <v>767</v>
      </c>
      <c r="D508" s="91" t="s">
        <v>256</v>
      </c>
      <c r="E508" s="93">
        <v>31818</v>
      </c>
      <c r="F508" s="94">
        <f t="shared" ca="1" si="22"/>
        <v>29</v>
      </c>
      <c r="G508" s="95" t="s">
        <v>267</v>
      </c>
      <c r="H508" s="96">
        <v>46110</v>
      </c>
      <c r="I508" s="97">
        <v>4</v>
      </c>
    </row>
    <row r="509" spans="1:9" ht="13.5" x14ac:dyDescent="0.25">
      <c r="A509" s="91" t="s">
        <v>767</v>
      </c>
      <c r="B509" s="92" t="s">
        <v>245</v>
      </c>
      <c r="C509" s="91" t="s">
        <v>767</v>
      </c>
      <c r="D509" s="91" t="s">
        <v>247</v>
      </c>
      <c r="E509" s="93">
        <v>31857</v>
      </c>
      <c r="F509" s="94">
        <f t="shared" ca="1" si="22"/>
        <v>29</v>
      </c>
      <c r="G509" s="95"/>
      <c r="H509" s="96">
        <v>23020</v>
      </c>
      <c r="I509" s="97">
        <v>4</v>
      </c>
    </row>
    <row r="510" spans="1:9" ht="13.5" x14ac:dyDescent="0.25">
      <c r="A510" s="91" t="s">
        <v>767</v>
      </c>
      <c r="B510" s="92" t="s">
        <v>271</v>
      </c>
      <c r="C510" s="91" t="s">
        <v>767</v>
      </c>
      <c r="D510" s="91" t="s">
        <v>247</v>
      </c>
      <c r="E510" s="93">
        <v>31924</v>
      </c>
      <c r="F510" s="94">
        <f t="shared" ca="1" si="22"/>
        <v>29</v>
      </c>
      <c r="G510" s="95"/>
      <c r="H510" s="96">
        <v>58650</v>
      </c>
      <c r="I510" s="97">
        <v>4</v>
      </c>
    </row>
    <row r="511" spans="1:9" ht="13.5" x14ac:dyDescent="0.25">
      <c r="A511" s="91" t="s">
        <v>767</v>
      </c>
      <c r="B511" s="92" t="s">
        <v>271</v>
      </c>
      <c r="C511" s="91" t="s">
        <v>767</v>
      </c>
      <c r="D511" s="91" t="s">
        <v>256</v>
      </c>
      <c r="E511" s="93">
        <v>32051</v>
      </c>
      <c r="F511" s="94">
        <f t="shared" ca="1" si="22"/>
        <v>29</v>
      </c>
      <c r="G511" s="95" t="s">
        <v>257</v>
      </c>
      <c r="H511" s="96">
        <v>24090</v>
      </c>
      <c r="I511" s="97">
        <v>4</v>
      </c>
    </row>
    <row r="512" spans="1:9" ht="13.5" x14ac:dyDescent="0.25">
      <c r="A512" s="91" t="s">
        <v>767</v>
      </c>
      <c r="B512" s="92" t="s">
        <v>271</v>
      </c>
      <c r="C512" s="91" t="s">
        <v>767</v>
      </c>
      <c r="D512" s="91" t="s">
        <v>247</v>
      </c>
      <c r="E512" s="93">
        <v>32092</v>
      </c>
      <c r="F512" s="94">
        <f t="shared" ca="1" si="22"/>
        <v>29</v>
      </c>
      <c r="G512" s="95"/>
      <c r="H512" s="96">
        <v>79380</v>
      </c>
      <c r="I512" s="97">
        <v>1</v>
      </c>
    </row>
    <row r="513" spans="1:9" ht="13.5" x14ac:dyDescent="0.25">
      <c r="A513" s="91" t="s">
        <v>767</v>
      </c>
      <c r="B513" s="92" t="s">
        <v>271</v>
      </c>
      <c r="C513" s="91" t="s">
        <v>767</v>
      </c>
      <c r="D513" s="91" t="s">
        <v>256</v>
      </c>
      <c r="E513" s="93">
        <v>32150</v>
      </c>
      <c r="F513" s="94">
        <f t="shared" ca="1" si="22"/>
        <v>28</v>
      </c>
      <c r="G513" s="95" t="s">
        <v>267</v>
      </c>
      <c r="H513" s="96">
        <v>77740</v>
      </c>
      <c r="I513" s="97">
        <v>1</v>
      </c>
    </row>
    <row r="514" spans="1:9" ht="13.5" x14ac:dyDescent="0.25">
      <c r="A514" s="91" t="s">
        <v>767</v>
      </c>
      <c r="B514" s="92" t="s">
        <v>271</v>
      </c>
      <c r="C514" s="91" t="s">
        <v>767</v>
      </c>
      <c r="D514" s="91" t="s">
        <v>256</v>
      </c>
      <c r="E514" s="93">
        <v>32200</v>
      </c>
      <c r="F514" s="94">
        <f t="shared" ca="1" si="22"/>
        <v>28</v>
      </c>
      <c r="G514" s="95" t="s">
        <v>262</v>
      </c>
      <c r="H514" s="96">
        <v>54500</v>
      </c>
      <c r="I514" s="97">
        <v>5</v>
      </c>
    </row>
    <row r="515" spans="1:9" ht="13.5" x14ac:dyDescent="0.25">
      <c r="A515" s="91" t="s">
        <v>767</v>
      </c>
      <c r="B515" s="92" t="s">
        <v>271</v>
      </c>
      <c r="C515" s="91" t="s">
        <v>767</v>
      </c>
      <c r="D515" s="91" t="s">
        <v>247</v>
      </c>
      <c r="E515" s="93">
        <v>32205</v>
      </c>
      <c r="F515" s="94">
        <f t="shared" ca="1" si="22"/>
        <v>28</v>
      </c>
      <c r="G515" s="95"/>
      <c r="H515" s="96">
        <v>52750</v>
      </c>
      <c r="I515" s="97">
        <v>1</v>
      </c>
    </row>
    <row r="516" spans="1:9" ht="13.5" x14ac:dyDescent="0.25">
      <c r="A516" s="91" t="s">
        <v>767</v>
      </c>
      <c r="B516" s="92" t="s">
        <v>271</v>
      </c>
      <c r="C516" s="91" t="s">
        <v>767</v>
      </c>
      <c r="D516" s="91" t="s">
        <v>256</v>
      </c>
      <c r="E516" s="93">
        <v>32216</v>
      </c>
      <c r="F516" s="94">
        <f t="shared" ca="1" si="22"/>
        <v>28</v>
      </c>
      <c r="G516" s="95" t="s">
        <v>267</v>
      </c>
      <c r="H516" s="96">
        <v>79400</v>
      </c>
      <c r="I516" s="97">
        <v>4</v>
      </c>
    </row>
    <row r="517" spans="1:9" ht="13.5" x14ac:dyDescent="0.25">
      <c r="A517" s="91" t="s">
        <v>767</v>
      </c>
      <c r="B517" s="92" t="s">
        <v>285</v>
      </c>
      <c r="C517" s="91" t="s">
        <v>767</v>
      </c>
      <c r="D517" s="91" t="s">
        <v>256</v>
      </c>
      <c r="E517" s="93">
        <v>32263</v>
      </c>
      <c r="F517" s="94">
        <f t="shared" ca="1" si="22"/>
        <v>28</v>
      </c>
      <c r="G517" s="95" t="s">
        <v>276</v>
      </c>
      <c r="H517" s="96">
        <v>71680</v>
      </c>
      <c r="I517" s="97">
        <v>4</v>
      </c>
    </row>
    <row r="518" spans="1:9" ht="13.5" x14ac:dyDescent="0.25">
      <c r="A518" s="91" t="s">
        <v>767</v>
      </c>
      <c r="B518" s="92" t="s">
        <v>245</v>
      </c>
      <c r="C518" s="91" t="s">
        <v>767</v>
      </c>
      <c r="D518" s="91" t="s">
        <v>247</v>
      </c>
      <c r="E518" s="93">
        <v>32268</v>
      </c>
      <c r="F518" s="94">
        <f t="shared" ca="1" si="22"/>
        <v>28</v>
      </c>
      <c r="G518" s="95"/>
      <c r="H518" s="96">
        <v>50840</v>
      </c>
      <c r="I518" s="97">
        <v>4</v>
      </c>
    </row>
    <row r="519" spans="1:9" ht="13.5" x14ac:dyDescent="0.25">
      <c r="A519" s="91" t="s">
        <v>767</v>
      </c>
      <c r="B519" s="92" t="s">
        <v>245</v>
      </c>
      <c r="C519" s="91" t="s">
        <v>767</v>
      </c>
      <c r="D519" s="91" t="s">
        <v>247</v>
      </c>
      <c r="E519" s="93">
        <v>32328</v>
      </c>
      <c r="F519" s="94">
        <f t="shared" ca="1" si="22"/>
        <v>28</v>
      </c>
      <c r="G519" s="95"/>
      <c r="H519" s="96">
        <v>47590</v>
      </c>
      <c r="I519" s="97">
        <v>3</v>
      </c>
    </row>
    <row r="520" spans="1:9" ht="13.5" x14ac:dyDescent="0.25">
      <c r="A520" s="91" t="s">
        <v>767</v>
      </c>
      <c r="B520" s="92" t="s">
        <v>245</v>
      </c>
      <c r="C520" s="91" t="s">
        <v>767</v>
      </c>
      <c r="D520" s="91" t="s">
        <v>247</v>
      </c>
      <c r="E520" s="93">
        <v>32348</v>
      </c>
      <c r="F520" s="94">
        <f t="shared" ca="1" si="22"/>
        <v>28</v>
      </c>
      <c r="G520" s="95"/>
      <c r="H520" s="96">
        <v>60550</v>
      </c>
      <c r="I520" s="97">
        <v>2</v>
      </c>
    </row>
    <row r="521" spans="1:9" ht="13.5" x14ac:dyDescent="0.25">
      <c r="A521" s="91" t="s">
        <v>767</v>
      </c>
      <c r="B521" s="92" t="s">
        <v>245</v>
      </c>
      <c r="C521" s="91" t="s">
        <v>767</v>
      </c>
      <c r="D521" s="91" t="s">
        <v>261</v>
      </c>
      <c r="E521" s="93">
        <v>32361</v>
      </c>
      <c r="F521" s="94">
        <f t="shared" ca="1" si="22"/>
        <v>28</v>
      </c>
      <c r="G521" s="95" t="s">
        <v>257</v>
      </c>
      <c r="H521" s="96">
        <v>46380</v>
      </c>
      <c r="I521" s="97">
        <v>3</v>
      </c>
    </row>
    <row r="522" spans="1:9" ht="13.5" x14ac:dyDescent="0.25">
      <c r="A522" s="91" t="s">
        <v>767</v>
      </c>
      <c r="B522" s="92" t="s">
        <v>271</v>
      </c>
      <c r="C522" s="91" t="s">
        <v>767</v>
      </c>
      <c r="D522" s="91" t="s">
        <v>247</v>
      </c>
      <c r="E522" s="93">
        <v>32639</v>
      </c>
      <c r="F522" s="94">
        <f t="shared" ca="1" si="22"/>
        <v>27</v>
      </c>
      <c r="G522" s="95"/>
      <c r="H522" s="96">
        <v>44720</v>
      </c>
      <c r="I522" s="97">
        <v>2</v>
      </c>
    </row>
    <row r="523" spans="1:9" ht="13.5" x14ac:dyDescent="0.25">
      <c r="A523" s="91" t="s">
        <v>767</v>
      </c>
      <c r="B523" s="92" t="s">
        <v>271</v>
      </c>
      <c r="C523" s="91" t="s">
        <v>767</v>
      </c>
      <c r="D523" s="91" t="s">
        <v>256</v>
      </c>
      <c r="E523" s="93">
        <v>32751</v>
      </c>
      <c r="F523" s="94">
        <f t="shared" ca="1" si="22"/>
        <v>27</v>
      </c>
      <c r="G523" s="95" t="s">
        <v>257</v>
      </c>
      <c r="H523" s="96">
        <v>23320</v>
      </c>
      <c r="I523" s="97">
        <v>4</v>
      </c>
    </row>
    <row r="524" spans="1:9" ht="13.5" x14ac:dyDescent="0.25">
      <c r="A524" s="91" t="s">
        <v>767</v>
      </c>
      <c r="B524" s="92" t="s">
        <v>285</v>
      </c>
      <c r="C524" s="91" t="s">
        <v>767</v>
      </c>
      <c r="D524" s="91" t="s">
        <v>256</v>
      </c>
      <c r="E524" s="93">
        <v>32839</v>
      </c>
      <c r="F524" s="94">
        <f t="shared" ca="1" si="22"/>
        <v>26</v>
      </c>
      <c r="G524" s="95" t="s">
        <v>276</v>
      </c>
      <c r="H524" s="96">
        <v>63440</v>
      </c>
      <c r="I524" s="97">
        <v>3</v>
      </c>
    </row>
    <row r="525" spans="1:9" ht="13.5" x14ac:dyDescent="0.25">
      <c r="A525" s="91" t="s">
        <v>767</v>
      </c>
      <c r="B525" s="92" t="s">
        <v>271</v>
      </c>
      <c r="C525" s="91" t="s">
        <v>767</v>
      </c>
      <c r="D525" s="91" t="s">
        <v>256</v>
      </c>
      <c r="E525" s="93">
        <v>32859</v>
      </c>
      <c r="F525" s="94">
        <f t="shared" ca="1" si="22"/>
        <v>26</v>
      </c>
      <c r="G525" s="95" t="s">
        <v>267</v>
      </c>
      <c r="H525" s="96">
        <v>69420</v>
      </c>
      <c r="I525" s="97">
        <v>2</v>
      </c>
    </row>
    <row r="526" spans="1:9" ht="13.5" x14ac:dyDescent="0.25">
      <c r="A526" s="91" t="s">
        <v>767</v>
      </c>
      <c r="B526" s="92" t="s">
        <v>271</v>
      </c>
      <c r="C526" s="91" t="s">
        <v>767</v>
      </c>
      <c r="D526" s="91" t="s">
        <v>256</v>
      </c>
      <c r="E526" s="93">
        <v>32912</v>
      </c>
      <c r="F526" s="94">
        <f t="shared" ca="1" si="22"/>
        <v>26</v>
      </c>
      <c r="G526" s="95" t="s">
        <v>257</v>
      </c>
      <c r="H526" s="96">
        <v>62688</v>
      </c>
      <c r="I526" s="97">
        <v>2</v>
      </c>
    </row>
    <row r="527" spans="1:9" ht="13.5" x14ac:dyDescent="0.25">
      <c r="A527" s="91" t="s">
        <v>767</v>
      </c>
      <c r="B527" s="92" t="s">
        <v>271</v>
      </c>
      <c r="C527" s="91" t="s">
        <v>767</v>
      </c>
      <c r="D527" s="91" t="s">
        <v>247</v>
      </c>
      <c r="E527" s="93">
        <v>33168</v>
      </c>
      <c r="F527" s="94">
        <f t="shared" ca="1" si="22"/>
        <v>26</v>
      </c>
      <c r="G527" s="95"/>
      <c r="H527" s="96">
        <v>56650</v>
      </c>
      <c r="I527" s="97">
        <v>1</v>
      </c>
    </row>
    <row r="528" spans="1:9" ht="13.5" x14ac:dyDescent="0.25">
      <c r="A528" s="91" t="s">
        <v>767</v>
      </c>
      <c r="B528" s="92" t="s">
        <v>285</v>
      </c>
      <c r="C528" s="91" t="s">
        <v>767</v>
      </c>
      <c r="D528" s="91" t="s">
        <v>247</v>
      </c>
      <c r="E528" s="93">
        <v>33348</v>
      </c>
      <c r="F528" s="94">
        <f t="shared" ca="1" si="22"/>
        <v>25</v>
      </c>
      <c r="G528" s="95"/>
      <c r="H528" s="96">
        <v>85980</v>
      </c>
      <c r="I528" s="97">
        <v>2</v>
      </c>
    </row>
    <row r="529" spans="1:9" ht="13.5" x14ac:dyDescent="0.25">
      <c r="A529" s="91" t="s">
        <v>767</v>
      </c>
      <c r="B529" s="92" t="s">
        <v>280</v>
      </c>
      <c r="C529" s="91" t="s">
        <v>767</v>
      </c>
      <c r="D529" s="91" t="s">
        <v>256</v>
      </c>
      <c r="E529" s="93">
        <v>33383</v>
      </c>
      <c r="F529" s="94">
        <f t="shared" ca="1" si="22"/>
        <v>25</v>
      </c>
      <c r="G529" s="95" t="s">
        <v>262</v>
      </c>
      <c r="H529" s="96">
        <v>88820</v>
      </c>
      <c r="I529" s="97">
        <v>2</v>
      </c>
    </row>
    <row r="530" spans="1:9" ht="13.5" x14ac:dyDescent="0.25">
      <c r="A530" s="91" t="s">
        <v>767</v>
      </c>
      <c r="B530" s="92" t="s">
        <v>271</v>
      </c>
      <c r="C530" s="91" t="s">
        <v>767</v>
      </c>
      <c r="D530" s="91" t="s">
        <v>247</v>
      </c>
      <c r="E530" s="93">
        <v>33416</v>
      </c>
      <c r="F530" s="94">
        <f t="shared" ca="1" si="22"/>
        <v>25</v>
      </c>
      <c r="G530" s="95"/>
      <c r="H530" s="96">
        <v>33120</v>
      </c>
      <c r="I530" s="97">
        <v>2</v>
      </c>
    </row>
    <row r="531" spans="1:9" ht="13.5" x14ac:dyDescent="0.25">
      <c r="A531" s="91" t="s">
        <v>767</v>
      </c>
      <c r="B531" s="92" t="s">
        <v>245</v>
      </c>
      <c r="C531" s="91" t="s">
        <v>767</v>
      </c>
      <c r="D531" s="91" t="s">
        <v>261</v>
      </c>
      <c r="E531" s="93">
        <v>33483</v>
      </c>
      <c r="F531" s="94">
        <f t="shared" ca="1" si="22"/>
        <v>25</v>
      </c>
      <c r="G531" s="95" t="s">
        <v>283</v>
      </c>
      <c r="H531" s="96">
        <v>10700</v>
      </c>
      <c r="I531" s="97">
        <v>4</v>
      </c>
    </row>
    <row r="532" spans="1:9" ht="13.5" x14ac:dyDescent="0.25">
      <c r="A532" s="91" t="s">
        <v>767</v>
      </c>
      <c r="B532" s="92" t="s">
        <v>280</v>
      </c>
      <c r="C532" s="91" t="s">
        <v>767</v>
      </c>
      <c r="D532" s="91" t="s">
        <v>247</v>
      </c>
      <c r="E532" s="93">
        <v>33605</v>
      </c>
      <c r="F532" s="94">
        <f t="shared" ca="1" si="22"/>
        <v>24</v>
      </c>
      <c r="G532" s="95"/>
      <c r="H532" s="96">
        <v>76870</v>
      </c>
      <c r="I532" s="97">
        <v>5</v>
      </c>
    </row>
    <row r="533" spans="1:9" ht="13.5" x14ac:dyDescent="0.25">
      <c r="A533" s="91" t="s">
        <v>767</v>
      </c>
      <c r="B533" s="92" t="s">
        <v>245</v>
      </c>
      <c r="C533" s="91" t="s">
        <v>767</v>
      </c>
      <c r="D533" s="91" t="s">
        <v>256</v>
      </c>
      <c r="E533" s="93">
        <v>33679</v>
      </c>
      <c r="F533" s="94">
        <f t="shared" ca="1" si="22"/>
        <v>24</v>
      </c>
      <c r="G533" s="95" t="s">
        <v>257</v>
      </c>
      <c r="H533" s="96">
        <v>50570</v>
      </c>
      <c r="I533" s="97">
        <v>4</v>
      </c>
    </row>
    <row r="534" spans="1:9" ht="13.5" x14ac:dyDescent="0.25">
      <c r="A534" s="91" t="s">
        <v>767</v>
      </c>
      <c r="B534" s="92" t="s">
        <v>245</v>
      </c>
      <c r="C534" s="91" t="s">
        <v>767</v>
      </c>
      <c r="D534" s="91" t="s">
        <v>256</v>
      </c>
      <c r="E534" s="93">
        <v>33784</v>
      </c>
      <c r="F534" s="94">
        <f t="shared" ca="1" si="22"/>
        <v>24</v>
      </c>
      <c r="G534" s="95" t="s">
        <v>262</v>
      </c>
      <c r="H534" s="96">
        <v>61148</v>
      </c>
      <c r="I534" s="97">
        <v>2</v>
      </c>
    </row>
    <row r="535" spans="1:9" ht="13.5" x14ac:dyDescent="0.25">
      <c r="A535" s="91" t="s">
        <v>767</v>
      </c>
      <c r="B535" s="92" t="s">
        <v>285</v>
      </c>
      <c r="C535" s="91" t="s">
        <v>767</v>
      </c>
      <c r="D535" s="91" t="s">
        <v>247</v>
      </c>
      <c r="E535" s="93">
        <v>33836</v>
      </c>
      <c r="F535" s="94">
        <f t="shared" ca="1" si="22"/>
        <v>24</v>
      </c>
      <c r="G535" s="95"/>
      <c r="H535" s="96">
        <v>73190</v>
      </c>
      <c r="I535" s="97">
        <v>1</v>
      </c>
    </row>
    <row r="536" spans="1:9" ht="13.5" x14ac:dyDescent="0.25">
      <c r="A536" s="91" t="s">
        <v>767</v>
      </c>
      <c r="B536" s="92" t="s">
        <v>245</v>
      </c>
      <c r="C536" s="91" t="s">
        <v>767</v>
      </c>
      <c r="D536" s="91" t="s">
        <v>256</v>
      </c>
      <c r="E536" s="93">
        <v>33841</v>
      </c>
      <c r="F536" s="94">
        <f t="shared" ca="1" si="22"/>
        <v>24</v>
      </c>
      <c r="G536" s="95" t="s">
        <v>276</v>
      </c>
      <c r="H536" s="96">
        <v>29760</v>
      </c>
      <c r="I536" s="97">
        <v>2</v>
      </c>
    </row>
    <row r="537" spans="1:9" ht="13.5" x14ac:dyDescent="0.25">
      <c r="A537" s="91" t="s">
        <v>767</v>
      </c>
      <c r="B537" s="92" t="s">
        <v>245</v>
      </c>
      <c r="C537" s="91" t="s">
        <v>767</v>
      </c>
      <c r="D537" s="91" t="s">
        <v>256</v>
      </c>
      <c r="E537" s="93">
        <v>33841</v>
      </c>
      <c r="F537" s="94">
        <f t="shared" ca="1" si="22"/>
        <v>24</v>
      </c>
      <c r="G537" s="95" t="s">
        <v>276</v>
      </c>
      <c r="H537" s="96">
        <v>29760</v>
      </c>
      <c r="I537" s="97">
        <v>2</v>
      </c>
    </row>
    <row r="538" spans="1:9" ht="13.5" x14ac:dyDescent="0.25">
      <c r="A538" s="91" t="s">
        <v>767</v>
      </c>
      <c r="B538" s="92" t="s">
        <v>285</v>
      </c>
      <c r="C538" s="91" t="s">
        <v>767</v>
      </c>
      <c r="D538" s="91" t="s">
        <v>256</v>
      </c>
      <c r="E538" s="93">
        <v>33859</v>
      </c>
      <c r="F538" s="94">
        <f t="shared" ca="1" si="22"/>
        <v>24</v>
      </c>
      <c r="G538" s="95" t="s">
        <v>276</v>
      </c>
      <c r="H538" s="96">
        <v>72640</v>
      </c>
      <c r="I538" s="97">
        <v>3</v>
      </c>
    </row>
    <row r="539" spans="1:9" ht="13.5" x14ac:dyDescent="0.25">
      <c r="A539" s="91" t="s">
        <v>767</v>
      </c>
      <c r="B539" s="92" t="s">
        <v>271</v>
      </c>
      <c r="C539" s="91" t="s">
        <v>767</v>
      </c>
      <c r="D539" s="91" t="s">
        <v>256</v>
      </c>
      <c r="E539" s="93">
        <v>33909</v>
      </c>
      <c r="F539" s="94">
        <f t="shared" ref="F539:F570" ca="1" si="23">DATEDIF(E539,TODAY(),"Y")</f>
        <v>24</v>
      </c>
      <c r="G539" s="95" t="s">
        <v>257</v>
      </c>
      <c r="H539" s="96">
        <v>47340</v>
      </c>
      <c r="I539" s="97">
        <v>2</v>
      </c>
    </row>
    <row r="540" spans="1:9" ht="13.5" x14ac:dyDescent="0.25">
      <c r="A540" s="91" t="s">
        <v>767</v>
      </c>
      <c r="B540" s="92" t="s">
        <v>245</v>
      </c>
      <c r="C540" s="91" t="s">
        <v>767</v>
      </c>
      <c r="D540" s="91" t="s">
        <v>256</v>
      </c>
      <c r="E540" s="93">
        <v>33976</v>
      </c>
      <c r="F540" s="94">
        <f t="shared" ca="1" si="23"/>
        <v>23</v>
      </c>
      <c r="G540" s="95" t="s">
        <v>262</v>
      </c>
      <c r="H540" s="96">
        <v>72700</v>
      </c>
      <c r="I540" s="97">
        <v>5</v>
      </c>
    </row>
    <row r="541" spans="1:9" ht="13.5" x14ac:dyDescent="0.25">
      <c r="A541" s="91" t="s">
        <v>767</v>
      </c>
      <c r="B541" s="92" t="s">
        <v>285</v>
      </c>
      <c r="C541" s="91" t="s">
        <v>767</v>
      </c>
      <c r="D541" s="91" t="s">
        <v>247</v>
      </c>
      <c r="E541" s="93">
        <v>33991</v>
      </c>
      <c r="F541" s="94">
        <f t="shared" ca="1" si="23"/>
        <v>23</v>
      </c>
      <c r="G541" s="95"/>
      <c r="H541" s="96">
        <v>60070</v>
      </c>
      <c r="I541" s="97">
        <v>2</v>
      </c>
    </row>
    <row r="542" spans="1:9" ht="13.5" x14ac:dyDescent="0.25">
      <c r="A542" s="91" t="s">
        <v>767</v>
      </c>
      <c r="B542" s="92" t="s">
        <v>285</v>
      </c>
      <c r="C542" s="91" t="s">
        <v>767</v>
      </c>
      <c r="D542" s="91" t="s">
        <v>256</v>
      </c>
      <c r="E542" s="93">
        <v>34218</v>
      </c>
      <c r="F542" s="94">
        <f t="shared" ca="1" si="23"/>
        <v>23</v>
      </c>
      <c r="G542" s="95" t="s">
        <v>257</v>
      </c>
      <c r="H542" s="96">
        <v>63270</v>
      </c>
      <c r="I542" s="97">
        <v>1</v>
      </c>
    </row>
    <row r="543" spans="1:9" ht="13.5" x14ac:dyDescent="0.25">
      <c r="A543" s="91" t="s">
        <v>767</v>
      </c>
      <c r="B543" s="92" t="s">
        <v>245</v>
      </c>
      <c r="C543" s="91" t="s">
        <v>767</v>
      </c>
      <c r="D543" s="91" t="s">
        <v>247</v>
      </c>
      <c r="E543" s="93">
        <v>34231</v>
      </c>
      <c r="F543" s="94">
        <f t="shared" ca="1" si="23"/>
        <v>23</v>
      </c>
      <c r="G543" s="95"/>
      <c r="H543" s="96">
        <v>49530</v>
      </c>
      <c r="I543" s="97">
        <v>4</v>
      </c>
    </row>
    <row r="544" spans="1:9" ht="13.5" x14ac:dyDescent="0.25">
      <c r="A544" s="91" t="s">
        <v>767</v>
      </c>
      <c r="B544" s="92" t="s">
        <v>285</v>
      </c>
      <c r="C544" s="91" t="s">
        <v>767</v>
      </c>
      <c r="D544" s="91" t="s">
        <v>256</v>
      </c>
      <c r="E544" s="93">
        <v>34306</v>
      </c>
      <c r="F544" s="94">
        <f t="shared" ca="1" si="23"/>
        <v>22</v>
      </c>
      <c r="G544" s="95" t="s">
        <v>283</v>
      </c>
      <c r="H544" s="96">
        <v>34060</v>
      </c>
      <c r="I544" s="97">
        <v>2</v>
      </c>
    </row>
    <row r="545" spans="1:9" ht="13.5" x14ac:dyDescent="0.25">
      <c r="A545" s="91" t="s">
        <v>767</v>
      </c>
      <c r="B545" s="92" t="s">
        <v>285</v>
      </c>
      <c r="C545" s="91" t="s">
        <v>767</v>
      </c>
      <c r="D545" s="91" t="s">
        <v>256</v>
      </c>
      <c r="E545" s="93">
        <v>34383</v>
      </c>
      <c r="F545" s="94">
        <f t="shared" ca="1" si="23"/>
        <v>22</v>
      </c>
      <c r="G545" s="95" t="s">
        <v>262</v>
      </c>
      <c r="H545" s="96">
        <v>24340</v>
      </c>
      <c r="I545" s="97">
        <v>4</v>
      </c>
    </row>
    <row r="546" spans="1:9" ht="13.5" x14ac:dyDescent="0.25">
      <c r="A546" s="91" t="s">
        <v>767</v>
      </c>
      <c r="B546" s="92" t="s">
        <v>251</v>
      </c>
      <c r="C546" s="91" t="s">
        <v>767</v>
      </c>
      <c r="D546" s="91" t="s">
        <v>247</v>
      </c>
      <c r="E546" s="93">
        <v>34389</v>
      </c>
      <c r="F546" s="94">
        <f t="shared" ca="1" si="23"/>
        <v>22</v>
      </c>
      <c r="G546" s="95"/>
      <c r="H546" s="96">
        <v>36230</v>
      </c>
      <c r="I546" s="97">
        <v>2</v>
      </c>
    </row>
    <row r="547" spans="1:9" ht="13.5" x14ac:dyDescent="0.25">
      <c r="A547" s="91" t="s">
        <v>767</v>
      </c>
      <c r="B547" s="92" t="s">
        <v>245</v>
      </c>
      <c r="C547" s="91" t="s">
        <v>767</v>
      </c>
      <c r="D547" s="91" t="s">
        <v>256</v>
      </c>
      <c r="E547" s="93">
        <v>34511</v>
      </c>
      <c r="F547" s="94">
        <f t="shared" ca="1" si="23"/>
        <v>22</v>
      </c>
      <c r="G547" s="95" t="s">
        <v>267</v>
      </c>
      <c r="H547" s="96">
        <v>22870</v>
      </c>
      <c r="I547" s="97">
        <v>3</v>
      </c>
    </row>
    <row r="548" spans="1:9" ht="13.5" x14ac:dyDescent="0.25">
      <c r="A548" s="91" t="s">
        <v>767</v>
      </c>
      <c r="B548" s="92" t="s">
        <v>280</v>
      </c>
      <c r="C548" s="91" t="s">
        <v>767</v>
      </c>
      <c r="D548" s="91" t="s">
        <v>261</v>
      </c>
      <c r="E548" s="93">
        <v>34516</v>
      </c>
      <c r="F548" s="94">
        <f t="shared" ca="1" si="23"/>
        <v>22</v>
      </c>
      <c r="G548" s="95" t="s">
        <v>257</v>
      </c>
      <c r="H548" s="96">
        <v>31205</v>
      </c>
      <c r="I548" s="97">
        <v>2</v>
      </c>
    </row>
    <row r="549" spans="1:9" ht="13.5" x14ac:dyDescent="0.25">
      <c r="A549" s="91" t="s">
        <v>767</v>
      </c>
      <c r="B549" s="92" t="s">
        <v>251</v>
      </c>
      <c r="C549" s="91" t="s">
        <v>767</v>
      </c>
      <c r="D549" s="91" t="s">
        <v>256</v>
      </c>
      <c r="E549" s="93">
        <v>34608</v>
      </c>
      <c r="F549" s="94">
        <f t="shared" ca="1" si="23"/>
        <v>22</v>
      </c>
      <c r="G549" s="95" t="s">
        <v>262</v>
      </c>
      <c r="H549" s="96">
        <v>73740</v>
      </c>
      <c r="I549" s="97">
        <v>4</v>
      </c>
    </row>
    <row r="550" spans="1:9" ht="13.5" x14ac:dyDescent="0.25">
      <c r="A550" s="91" t="s">
        <v>767</v>
      </c>
      <c r="B550" s="92" t="s">
        <v>245</v>
      </c>
      <c r="C550" s="91" t="s">
        <v>767</v>
      </c>
      <c r="D550" s="91" t="s">
        <v>252</v>
      </c>
      <c r="E550" s="93">
        <v>34636</v>
      </c>
      <c r="F550" s="94">
        <f t="shared" ca="1" si="23"/>
        <v>22</v>
      </c>
      <c r="G550" s="95"/>
      <c r="H550" s="96">
        <v>14332</v>
      </c>
      <c r="I550" s="97">
        <v>5</v>
      </c>
    </row>
    <row r="551" spans="1:9" ht="13.5" x14ac:dyDescent="0.25">
      <c r="A551" s="91" t="s">
        <v>767</v>
      </c>
      <c r="B551" s="92" t="s">
        <v>285</v>
      </c>
      <c r="C551" s="91" t="s">
        <v>767</v>
      </c>
      <c r="D551" s="91" t="s">
        <v>256</v>
      </c>
      <c r="E551" s="93">
        <v>34648</v>
      </c>
      <c r="F551" s="94">
        <f t="shared" ca="1" si="23"/>
        <v>22</v>
      </c>
      <c r="G551" s="95" t="s">
        <v>283</v>
      </c>
      <c r="H551" s="96">
        <v>61420</v>
      </c>
      <c r="I551" s="97">
        <v>4</v>
      </c>
    </row>
    <row r="552" spans="1:9" ht="13.5" x14ac:dyDescent="0.25">
      <c r="A552" s="91" t="s">
        <v>767</v>
      </c>
      <c r="B552" s="92" t="s">
        <v>271</v>
      </c>
      <c r="C552" s="91" t="s">
        <v>767</v>
      </c>
      <c r="D552" s="91" t="s">
        <v>256</v>
      </c>
      <c r="E552" s="93">
        <v>34680</v>
      </c>
      <c r="F552" s="94">
        <f t="shared" ca="1" si="23"/>
        <v>21</v>
      </c>
      <c r="G552" s="95" t="s">
        <v>276</v>
      </c>
      <c r="H552" s="96">
        <v>36890</v>
      </c>
      <c r="I552" s="97">
        <v>1</v>
      </c>
    </row>
    <row r="553" spans="1:9" ht="13.5" x14ac:dyDescent="0.25">
      <c r="A553" s="91" t="s">
        <v>767</v>
      </c>
      <c r="B553" s="92" t="s">
        <v>285</v>
      </c>
      <c r="C553" s="91" t="s">
        <v>767</v>
      </c>
      <c r="D553" s="91" t="s">
        <v>252</v>
      </c>
      <c r="E553" s="93">
        <v>34718</v>
      </c>
      <c r="F553" s="94">
        <f t="shared" ca="1" si="23"/>
        <v>21</v>
      </c>
      <c r="G553" s="95"/>
      <c r="H553" s="96">
        <v>16688</v>
      </c>
      <c r="I553" s="97">
        <v>3</v>
      </c>
    </row>
    <row r="554" spans="1:9" ht="13.5" x14ac:dyDescent="0.25">
      <c r="A554" s="91" t="s">
        <v>767</v>
      </c>
      <c r="B554" s="92" t="s">
        <v>285</v>
      </c>
      <c r="C554" s="91" t="s">
        <v>767</v>
      </c>
      <c r="D554" s="91" t="s">
        <v>261</v>
      </c>
      <c r="E554" s="93">
        <v>34774</v>
      </c>
      <c r="F554" s="94">
        <f t="shared" ca="1" si="23"/>
        <v>21</v>
      </c>
      <c r="G554" s="95" t="s">
        <v>262</v>
      </c>
      <c r="H554" s="96">
        <v>45750</v>
      </c>
      <c r="I554" s="97">
        <v>5</v>
      </c>
    </row>
    <row r="555" spans="1:9" ht="13.5" x14ac:dyDescent="0.25">
      <c r="A555" s="91" t="s">
        <v>767</v>
      </c>
      <c r="B555" s="92" t="s">
        <v>245</v>
      </c>
      <c r="C555" s="91" t="s">
        <v>767</v>
      </c>
      <c r="D555" s="91" t="s">
        <v>247</v>
      </c>
      <c r="E555" s="93">
        <v>34776</v>
      </c>
      <c r="F555" s="94">
        <f t="shared" ca="1" si="23"/>
        <v>21</v>
      </c>
      <c r="G555" s="95"/>
      <c r="H555" s="96">
        <v>47520</v>
      </c>
      <c r="I555" s="97">
        <v>1</v>
      </c>
    </row>
    <row r="556" spans="1:9" ht="13.5" x14ac:dyDescent="0.25">
      <c r="A556" s="91" t="s">
        <v>767</v>
      </c>
      <c r="B556" s="92" t="s">
        <v>271</v>
      </c>
      <c r="C556" s="91" t="s">
        <v>767</v>
      </c>
      <c r="D556" s="91" t="s">
        <v>256</v>
      </c>
      <c r="E556" s="93">
        <v>34778</v>
      </c>
      <c r="F556" s="94">
        <f t="shared" ca="1" si="23"/>
        <v>21</v>
      </c>
      <c r="G556" s="95" t="s">
        <v>267</v>
      </c>
      <c r="H556" s="96">
        <v>54580</v>
      </c>
      <c r="I556" s="97">
        <v>4</v>
      </c>
    </row>
    <row r="557" spans="1:9" ht="13.5" x14ac:dyDescent="0.25">
      <c r="A557" s="91" t="s">
        <v>767</v>
      </c>
      <c r="B557" s="92" t="s">
        <v>251</v>
      </c>
      <c r="C557" s="91" t="s">
        <v>767</v>
      </c>
      <c r="D557" s="91" t="s">
        <v>256</v>
      </c>
      <c r="E557" s="93">
        <v>34826</v>
      </c>
      <c r="F557" s="94">
        <f t="shared" ca="1" si="23"/>
        <v>21</v>
      </c>
      <c r="G557" s="95" t="s">
        <v>283</v>
      </c>
      <c r="H557" s="96">
        <v>45000</v>
      </c>
      <c r="I557" s="97">
        <v>4</v>
      </c>
    </row>
    <row r="558" spans="1:9" ht="13.5" x14ac:dyDescent="0.25">
      <c r="A558" s="91" t="s">
        <v>767</v>
      </c>
      <c r="B558" s="92" t="s">
        <v>271</v>
      </c>
      <c r="C558" s="91" t="s">
        <v>767</v>
      </c>
      <c r="D558" s="91" t="s">
        <v>256</v>
      </c>
      <c r="E558" s="93">
        <v>34885</v>
      </c>
      <c r="F558" s="94">
        <f t="shared" ca="1" si="23"/>
        <v>21</v>
      </c>
      <c r="G558" s="95" t="s">
        <v>267</v>
      </c>
      <c r="H558" s="96">
        <v>46360</v>
      </c>
      <c r="I558" s="97">
        <v>5</v>
      </c>
    </row>
    <row r="559" spans="1:9" ht="13.5" x14ac:dyDescent="0.25">
      <c r="A559" s="91" t="s">
        <v>767</v>
      </c>
      <c r="B559" s="92" t="s">
        <v>271</v>
      </c>
      <c r="C559" s="91" t="s">
        <v>767</v>
      </c>
      <c r="D559" s="91" t="s">
        <v>256</v>
      </c>
      <c r="E559" s="93">
        <v>34885</v>
      </c>
      <c r="F559" s="94">
        <f t="shared" ca="1" si="23"/>
        <v>21</v>
      </c>
      <c r="G559" s="95" t="s">
        <v>267</v>
      </c>
      <c r="H559" s="96">
        <v>46360</v>
      </c>
      <c r="I559" s="97">
        <v>5</v>
      </c>
    </row>
    <row r="560" spans="1:9" ht="13.5" x14ac:dyDescent="0.25">
      <c r="A560" s="91" t="s">
        <v>767</v>
      </c>
      <c r="B560" s="92" t="s">
        <v>280</v>
      </c>
      <c r="C560" s="91" t="s">
        <v>767</v>
      </c>
      <c r="D560" s="91" t="s">
        <v>261</v>
      </c>
      <c r="E560" s="93">
        <v>34907</v>
      </c>
      <c r="F560" s="94">
        <f t="shared" ca="1" si="23"/>
        <v>21</v>
      </c>
      <c r="G560" s="95" t="s">
        <v>283</v>
      </c>
      <c r="H560" s="96">
        <v>22475</v>
      </c>
      <c r="I560" s="97">
        <v>4</v>
      </c>
    </row>
    <row r="561" spans="1:9" ht="13.5" x14ac:dyDescent="0.25">
      <c r="A561" s="91" t="s">
        <v>767</v>
      </c>
      <c r="B561" s="92" t="s">
        <v>271</v>
      </c>
      <c r="C561" s="91" t="s">
        <v>767</v>
      </c>
      <c r="D561" s="91" t="s">
        <v>247</v>
      </c>
      <c r="E561" s="93">
        <v>34987</v>
      </c>
      <c r="F561" s="94">
        <f t="shared" ca="1" si="23"/>
        <v>21</v>
      </c>
      <c r="G561" s="95"/>
      <c r="H561" s="96">
        <v>57990</v>
      </c>
      <c r="I561" s="97">
        <v>5</v>
      </c>
    </row>
    <row r="562" spans="1:9" ht="13.5" x14ac:dyDescent="0.25">
      <c r="A562" s="91" t="s">
        <v>767</v>
      </c>
      <c r="B562" s="92" t="s">
        <v>285</v>
      </c>
      <c r="C562" s="91" t="s">
        <v>767</v>
      </c>
      <c r="D562" s="91" t="s">
        <v>252</v>
      </c>
      <c r="E562" s="93">
        <v>35030</v>
      </c>
      <c r="F562" s="94">
        <f t="shared" ca="1" si="23"/>
        <v>20</v>
      </c>
      <c r="G562" s="95"/>
      <c r="H562" s="96">
        <v>37016</v>
      </c>
      <c r="I562" s="97">
        <v>4</v>
      </c>
    </row>
    <row r="563" spans="1:9" ht="13.5" x14ac:dyDescent="0.25">
      <c r="A563" s="91" t="s">
        <v>767</v>
      </c>
      <c r="B563" s="92" t="s">
        <v>266</v>
      </c>
      <c r="C563" s="91" t="s">
        <v>767</v>
      </c>
      <c r="D563" s="91" t="s">
        <v>247</v>
      </c>
      <c r="E563" s="93">
        <v>35065</v>
      </c>
      <c r="F563" s="94">
        <f t="shared" ca="1" si="23"/>
        <v>20</v>
      </c>
      <c r="G563" s="95"/>
      <c r="H563" s="96">
        <v>71300</v>
      </c>
      <c r="I563" s="97">
        <v>5</v>
      </c>
    </row>
    <row r="564" spans="1:9" ht="13.5" x14ac:dyDescent="0.25">
      <c r="A564" s="91" t="s">
        <v>767</v>
      </c>
      <c r="B564" s="92" t="s">
        <v>271</v>
      </c>
      <c r="C564" s="91" t="s">
        <v>767</v>
      </c>
      <c r="D564" s="91" t="s">
        <v>252</v>
      </c>
      <c r="E564" s="93">
        <v>35070</v>
      </c>
      <c r="F564" s="94">
        <f t="shared" ca="1" si="23"/>
        <v>20</v>
      </c>
      <c r="G564" s="95"/>
      <c r="H564" s="96">
        <v>36052</v>
      </c>
      <c r="I564" s="97">
        <v>5</v>
      </c>
    </row>
    <row r="565" spans="1:9" ht="13.5" x14ac:dyDescent="0.25">
      <c r="A565" s="91" t="s">
        <v>767</v>
      </c>
      <c r="B565" s="92" t="s">
        <v>271</v>
      </c>
      <c r="C565" s="91" t="s">
        <v>767</v>
      </c>
      <c r="D565" s="91" t="s">
        <v>256</v>
      </c>
      <c r="E565" s="93">
        <v>35083</v>
      </c>
      <c r="F565" s="94">
        <f t="shared" ca="1" si="23"/>
        <v>20</v>
      </c>
      <c r="G565" s="95" t="s">
        <v>283</v>
      </c>
      <c r="H565" s="96">
        <v>65910</v>
      </c>
      <c r="I565" s="97">
        <v>5</v>
      </c>
    </row>
    <row r="566" spans="1:9" ht="13.5" x14ac:dyDescent="0.25">
      <c r="A566" s="91" t="s">
        <v>767</v>
      </c>
      <c r="B566" s="92" t="s">
        <v>271</v>
      </c>
      <c r="C566" s="91" t="s">
        <v>767</v>
      </c>
      <c r="D566" s="91" t="s">
        <v>256</v>
      </c>
      <c r="E566" s="93">
        <v>35226</v>
      </c>
      <c r="F566" s="94">
        <f t="shared" ca="1" si="23"/>
        <v>20</v>
      </c>
      <c r="G566" s="95" t="s">
        <v>257</v>
      </c>
      <c r="H566" s="96">
        <v>62400</v>
      </c>
      <c r="I566" s="97">
        <v>4</v>
      </c>
    </row>
    <row r="567" spans="1:9" ht="13.5" x14ac:dyDescent="0.25">
      <c r="A567" s="91" t="s">
        <v>767</v>
      </c>
      <c r="B567" s="92" t="s">
        <v>271</v>
      </c>
      <c r="C567" s="91" t="s">
        <v>767</v>
      </c>
      <c r="D567" s="91" t="s">
        <v>256</v>
      </c>
      <c r="E567" s="93">
        <v>35363</v>
      </c>
      <c r="F567" s="94">
        <f t="shared" ca="1" si="23"/>
        <v>20</v>
      </c>
      <c r="G567" s="95" t="s">
        <v>276</v>
      </c>
      <c r="H567" s="96">
        <v>48330</v>
      </c>
      <c r="I567" s="97">
        <v>1</v>
      </c>
    </row>
    <row r="568" spans="1:9" ht="13.5" x14ac:dyDescent="0.25">
      <c r="A568" s="91" t="s">
        <v>767</v>
      </c>
      <c r="B568" s="92" t="s">
        <v>285</v>
      </c>
      <c r="C568" s="91" t="s">
        <v>767</v>
      </c>
      <c r="D568" s="91" t="s">
        <v>247</v>
      </c>
      <c r="E568" s="93">
        <v>35477</v>
      </c>
      <c r="F568" s="94">
        <f t="shared" ca="1" si="23"/>
        <v>19</v>
      </c>
      <c r="G568" s="95"/>
      <c r="H568" s="96">
        <v>89640</v>
      </c>
      <c r="I568" s="97">
        <v>4</v>
      </c>
    </row>
    <row r="569" spans="1:9" ht="13.5" x14ac:dyDescent="0.25">
      <c r="A569" s="91" t="s">
        <v>767</v>
      </c>
      <c r="B569" s="92" t="s">
        <v>271</v>
      </c>
      <c r="C569" s="91" t="s">
        <v>767</v>
      </c>
      <c r="D569" s="91" t="s">
        <v>256</v>
      </c>
      <c r="E569" s="93">
        <v>35828</v>
      </c>
      <c r="F569" s="94">
        <f t="shared" ca="1" si="23"/>
        <v>18</v>
      </c>
      <c r="G569" s="95" t="s">
        <v>257</v>
      </c>
      <c r="H569" s="96">
        <v>29130</v>
      </c>
      <c r="I569" s="97">
        <v>1</v>
      </c>
    </row>
    <row r="570" spans="1:9" ht="13.5" x14ac:dyDescent="0.25">
      <c r="A570" s="91" t="s">
        <v>767</v>
      </c>
      <c r="B570" s="92" t="s">
        <v>271</v>
      </c>
      <c r="C570" s="91" t="s">
        <v>767</v>
      </c>
      <c r="D570" s="91" t="s">
        <v>261</v>
      </c>
      <c r="E570" s="93">
        <v>35939</v>
      </c>
      <c r="F570" s="94">
        <f t="shared" ca="1" si="23"/>
        <v>18</v>
      </c>
      <c r="G570" s="95" t="s">
        <v>276</v>
      </c>
      <c r="H570" s="96">
        <v>12545</v>
      </c>
      <c r="I570" s="97">
        <v>4</v>
      </c>
    </row>
    <row r="571" spans="1:9" ht="13.5" x14ac:dyDescent="0.25">
      <c r="A571" s="91" t="s">
        <v>767</v>
      </c>
      <c r="B571" s="92" t="s">
        <v>271</v>
      </c>
      <c r="C571" s="91" t="s">
        <v>767</v>
      </c>
      <c r="D571" s="91" t="s">
        <v>247</v>
      </c>
      <c r="E571" s="93">
        <v>36094</v>
      </c>
      <c r="F571" s="94">
        <f t="shared" ref="F571:F597" ca="1" si="24">DATEDIF(E571,TODAY(),"Y")</f>
        <v>18</v>
      </c>
      <c r="G571" s="95"/>
      <c r="H571" s="96">
        <v>60070</v>
      </c>
      <c r="I571" s="97">
        <v>3</v>
      </c>
    </row>
    <row r="572" spans="1:9" ht="13.5" x14ac:dyDescent="0.25">
      <c r="A572" s="91" t="s">
        <v>767</v>
      </c>
      <c r="B572" s="92" t="s">
        <v>285</v>
      </c>
      <c r="C572" s="91" t="s">
        <v>767</v>
      </c>
      <c r="D572" s="91" t="s">
        <v>247</v>
      </c>
      <c r="E572" s="93">
        <v>36216</v>
      </c>
      <c r="F572" s="94">
        <f t="shared" ca="1" si="24"/>
        <v>17</v>
      </c>
      <c r="G572" s="95"/>
      <c r="H572" s="96">
        <v>61580</v>
      </c>
      <c r="I572" s="97">
        <v>3</v>
      </c>
    </row>
    <row r="573" spans="1:9" ht="13.5" x14ac:dyDescent="0.25">
      <c r="A573" s="91" t="s">
        <v>767</v>
      </c>
      <c r="B573" s="92" t="s">
        <v>285</v>
      </c>
      <c r="C573" s="91" t="s">
        <v>767</v>
      </c>
      <c r="D573" s="91" t="s">
        <v>256</v>
      </c>
      <c r="E573" s="93">
        <v>36258</v>
      </c>
      <c r="F573" s="94">
        <f t="shared" ca="1" si="24"/>
        <v>17</v>
      </c>
      <c r="G573" s="95" t="s">
        <v>262</v>
      </c>
      <c r="H573" s="96">
        <v>45100</v>
      </c>
      <c r="I573" s="97">
        <v>2</v>
      </c>
    </row>
    <row r="574" spans="1:9" ht="13.5" x14ac:dyDescent="0.25">
      <c r="A574" s="91" t="s">
        <v>767</v>
      </c>
      <c r="B574" s="92" t="s">
        <v>285</v>
      </c>
      <c r="C574" s="91" t="s">
        <v>767</v>
      </c>
      <c r="D574" s="91" t="s">
        <v>256</v>
      </c>
      <c r="E574" s="93">
        <v>36391</v>
      </c>
      <c r="F574" s="94">
        <f t="shared" ca="1" si="24"/>
        <v>17</v>
      </c>
      <c r="G574" s="95" t="s">
        <v>262</v>
      </c>
      <c r="H574" s="96">
        <v>23560</v>
      </c>
      <c r="I574" s="97">
        <v>3</v>
      </c>
    </row>
    <row r="575" spans="1:9" ht="13.5" x14ac:dyDescent="0.25">
      <c r="A575" s="91" t="s">
        <v>767</v>
      </c>
      <c r="B575" s="92" t="s">
        <v>280</v>
      </c>
      <c r="C575" s="91" t="s">
        <v>767</v>
      </c>
      <c r="D575" s="91" t="s">
        <v>256</v>
      </c>
      <c r="E575" s="93">
        <v>36538</v>
      </c>
      <c r="F575" s="94">
        <f t="shared" ca="1" si="24"/>
        <v>16</v>
      </c>
      <c r="G575" s="95" t="s">
        <v>262</v>
      </c>
      <c r="H575" s="96">
        <v>76910</v>
      </c>
      <c r="I575" s="97">
        <v>2</v>
      </c>
    </row>
    <row r="576" spans="1:9" ht="13.5" x14ac:dyDescent="0.25">
      <c r="A576" s="91" t="s">
        <v>767</v>
      </c>
      <c r="B576" s="92" t="s">
        <v>285</v>
      </c>
      <c r="C576" s="91" t="s">
        <v>767</v>
      </c>
      <c r="D576" s="91" t="s">
        <v>261</v>
      </c>
      <c r="E576" s="93">
        <v>36863</v>
      </c>
      <c r="F576" s="94">
        <f t="shared" ca="1" si="24"/>
        <v>15</v>
      </c>
      <c r="G576" s="95" t="s">
        <v>283</v>
      </c>
      <c r="H576" s="96">
        <v>32900</v>
      </c>
      <c r="I576" s="97">
        <v>2</v>
      </c>
    </row>
    <row r="577" spans="1:9" ht="13.5" x14ac:dyDescent="0.25">
      <c r="A577" s="91" t="s">
        <v>767</v>
      </c>
      <c r="B577" s="92" t="s">
        <v>266</v>
      </c>
      <c r="C577" s="91" t="s">
        <v>767</v>
      </c>
      <c r="D577" s="91" t="s">
        <v>256</v>
      </c>
      <c r="E577" s="93">
        <v>37113</v>
      </c>
      <c r="F577" s="94">
        <f t="shared" ca="1" si="24"/>
        <v>15</v>
      </c>
      <c r="G577" s="95" t="s">
        <v>276</v>
      </c>
      <c r="H577" s="96">
        <v>61330</v>
      </c>
      <c r="I577" s="97">
        <v>2</v>
      </c>
    </row>
    <row r="578" spans="1:9" ht="13.5" x14ac:dyDescent="0.25">
      <c r="A578" s="91" t="s">
        <v>767</v>
      </c>
      <c r="B578" s="92" t="s">
        <v>266</v>
      </c>
      <c r="C578" s="91" t="s">
        <v>767</v>
      </c>
      <c r="D578" s="91" t="s">
        <v>261</v>
      </c>
      <c r="E578" s="93">
        <v>37413</v>
      </c>
      <c r="F578" s="94">
        <f t="shared" ca="1" si="24"/>
        <v>14</v>
      </c>
      <c r="G578" s="95" t="s">
        <v>283</v>
      </c>
      <c r="H578" s="96">
        <v>10630</v>
      </c>
      <c r="I578" s="97">
        <v>3</v>
      </c>
    </row>
    <row r="579" spans="1:9" ht="13.5" x14ac:dyDescent="0.25">
      <c r="A579" s="91" t="s">
        <v>767</v>
      </c>
      <c r="B579" s="92" t="s">
        <v>266</v>
      </c>
      <c r="C579" s="91" t="s">
        <v>767</v>
      </c>
      <c r="D579" s="91" t="s">
        <v>256</v>
      </c>
      <c r="E579" s="93">
        <v>37480</v>
      </c>
      <c r="F579" s="94">
        <f t="shared" ca="1" si="24"/>
        <v>14</v>
      </c>
      <c r="G579" s="95" t="s">
        <v>262</v>
      </c>
      <c r="H579" s="96">
        <v>62688</v>
      </c>
      <c r="I579" s="97">
        <v>3</v>
      </c>
    </row>
    <row r="580" spans="1:9" ht="13.5" x14ac:dyDescent="0.25">
      <c r="A580" s="91" t="s">
        <v>767</v>
      </c>
      <c r="B580" s="92" t="s">
        <v>271</v>
      </c>
      <c r="C580" s="91" t="s">
        <v>767</v>
      </c>
      <c r="D580" s="91" t="s">
        <v>256</v>
      </c>
      <c r="E580" s="93">
        <v>37737</v>
      </c>
      <c r="F580" s="94">
        <f t="shared" ca="1" si="24"/>
        <v>13</v>
      </c>
      <c r="G580" s="95" t="s">
        <v>283</v>
      </c>
      <c r="H580" s="96">
        <v>65880</v>
      </c>
      <c r="I580" s="97">
        <v>5</v>
      </c>
    </row>
    <row r="581" spans="1:9" ht="13.5" x14ac:dyDescent="0.25">
      <c r="A581" s="91" t="s">
        <v>767</v>
      </c>
      <c r="B581" s="92" t="s">
        <v>271</v>
      </c>
      <c r="C581" s="91" t="s">
        <v>767</v>
      </c>
      <c r="D581" s="91" t="s">
        <v>256</v>
      </c>
      <c r="E581" s="93">
        <v>37737</v>
      </c>
      <c r="F581" s="94">
        <f t="shared" ca="1" si="24"/>
        <v>13</v>
      </c>
      <c r="G581" s="95" t="s">
        <v>283</v>
      </c>
      <c r="H581" s="96">
        <v>65880</v>
      </c>
      <c r="I581" s="97">
        <v>5</v>
      </c>
    </row>
    <row r="582" spans="1:9" ht="13.5" x14ac:dyDescent="0.25">
      <c r="A582" s="91" t="s">
        <v>767</v>
      </c>
      <c r="B582" s="92" t="s">
        <v>266</v>
      </c>
      <c r="C582" s="91" t="s">
        <v>767</v>
      </c>
      <c r="D582" s="91" t="s">
        <v>256</v>
      </c>
      <c r="E582" s="93">
        <v>37907</v>
      </c>
      <c r="F582" s="94">
        <f t="shared" ca="1" si="24"/>
        <v>13</v>
      </c>
      <c r="G582" s="95" t="s">
        <v>257</v>
      </c>
      <c r="H582" s="96">
        <v>73830</v>
      </c>
      <c r="I582" s="97">
        <v>2</v>
      </c>
    </row>
    <row r="583" spans="1:9" ht="13.5" x14ac:dyDescent="0.25">
      <c r="A583" s="91" t="s">
        <v>767</v>
      </c>
      <c r="B583" s="92" t="s">
        <v>285</v>
      </c>
      <c r="C583" s="91" t="s">
        <v>767</v>
      </c>
      <c r="D583" s="91" t="s">
        <v>256</v>
      </c>
      <c r="E583" s="93">
        <v>38052</v>
      </c>
      <c r="F583" s="94">
        <f t="shared" ca="1" si="24"/>
        <v>12</v>
      </c>
      <c r="G583" s="95" t="s">
        <v>262</v>
      </c>
      <c r="H583" s="96">
        <v>42020</v>
      </c>
      <c r="I583" s="97">
        <v>5</v>
      </c>
    </row>
    <row r="584" spans="1:9" ht="13.5" x14ac:dyDescent="0.25">
      <c r="A584" s="91" t="s">
        <v>767</v>
      </c>
      <c r="B584" s="92" t="s">
        <v>285</v>
      </c>
      <c r="C584" s="91" t="s">
        <v>767</v>
      </c>
      <c r="D584" s="91" t="s">
        <v>256</v>
      </c>
      <c r="E584" s="93">
        <v>38136</v>
      </c>
      <c r="F584" s="94">
        <f t="shared" ca="1" si="24"/>
        <v>12</v>
      </c>
      <c r="G584" s="95" t="s">
        <v>257</v>
      </c>
      <c r="H584" s="96">
        <v>44650</v>
      </c>
      <c r="I584" s="97">
        <v>1</v>
      </c>
    </row>
    <row r="585" spans="1:9" ht="13.5" x14ac:dyDescent="0.25">
      <c r="A585" s="91" t="s">
        <v>767</v>
      </c>
      <c r="B585" s="92" t="s">
        <v>280</v>
      </c>
      <c r="C585" s="91" t="s">
        <v>767</v>
      </c>
      <c r="D585" s="91" t="s">
        <v>261</v>
      </c>
      <c r="E585" s="93">
        <v>38418</v>
      </c>
      <c r="F585" s="94">
        <f t="shared" ca="1" si="24"/>
        <v>11</v>
      </c>
      <c r="G585" s="95" t="s">
        <v>257</v>
      </c>
      <c r="H585" s="96">
        <v>45565</v>
      </c>
      <c r="I585" s="97">
        <v>1</v>
      </c>
    </row>
    <row r="586" spans="1:9" ht="13.5" x14ac:dyDescent="0.25">
      <c r="A586" s="91" t="s">
        <v>767</v>
      </c>
      <c r="B586" s="92" t="s">
        <v>285</v>
      </c>
      <c r="C586" s="91" t="s">
        <v>767</v>
      </c>
      <c r="D586" s="91" t="s">
        <v>256</v>
      </c>
      <c r="E586" s="93">
        <v>38554</v>
      </c>
      <c r="F586" s="94">
        <f t="shared" ca="1" si="24"/>
        <v>11</v>
      </c>
      <c r="G586" s="95" t="s">
        <v>257</v>
      </c>
      <c r="H586" s="96">
        <v>64320</v>
      </c>
      <c r="I586" s="97">
        <v>5</v>
      </c>
    </row>
    <row r="587" spans="1:9" ht="13.5" x14ac:dyDescent="0.25">
      <c r="A587" s="91" t="s">
        <v>767</v>
      </c>
      <c r="B587" s="92" t="s">
        <v>245</v>
      </c>
      <c r="C587" s="91" t="s">
        <v>767</v>
      </c>
      <c r="D587" s="91" t="s">
        <v>256</v>
      </c>
      <c r="E587" s="93">
        <v>38589</v>
      </c>
      <c r="F587" s="94">
        <f t="shared" ca="1" si="24"/>
        <v>11</v>
      </c>
      <c r="G587" s="95" t="s">
        <v>257</v>
      </c>
      <c r="H587" s="96">
        <v>24790</v>
      </c>
      <c r="I587" s="97">
        <v>3</v>
      </c>
    </row>
    <row r="588" spans="1:9" ht="13.5" x14ac:dyDescent="0.25">
      <c r="A588" s="91" t="s">
        <v>767</v>
      </c>
      <c r="B588" s="92" t="s">
        <v>271</v>
      </c>
      <c r="C588" s="91" t="s">
        <v>767</v>
      </c>
      <c r="D588" s="91" t="s">
        <v>256</v>
      </c>
      <c r="E588" s="93">
        <v>38827</v>
      </c>
      <c r="F588" s="94">
        <f t="shared" ca="1" si="24"/>
        <v>10</v>
      </c>
      <c r="G588" s="95" t="s">
        <v>257</v>
      </c>
      <c r="H588" s="96">
        <v>54190</v>
      </c>
      <c r="I588" s="97">
        <v>4</v>
      </c>
    </row>
    <row r="589" spans="1:9" ht="13.5" x14ac:dyDescent="0.25">
      <c r="A589" s="91" t="s">
        <v>767</v>
      </c>
      <c r="B589" s="92" t="s">
        <v>271</v>
      </c>
      <c r="C589" s="91" t="s">
        <v>767</v>
      </c>
      <c r="D589" s="91" t="s">
        <v>261</v>
      </c>
      <c r="E589" s="93">
        <v>38856</v>
      </c>
      <c r="F589" s="94">
        <f t="shared" ca="1" si="24"/>
        <v>10</v>
      </c>
      <c r="G589" s="95" t="s">
        <v>276</v>
      </c>
      <c r="H589" s="96">
        <v>25245</v>
      </c>
      <c r="I589" s="97">
        <v>5</v>
      </c>
    </row>
    <row r="590" spans="1:9" ht="13.5" x14ac:dyDescent="0.25">
      <c r="A590" s="91" t="s">
        <v>767</v>
      </c>
      <c r="B590" s="92" t="s">
        <v>251</v>
      </c>
      <c r="C590" s="91" t="s">
        <v>767</v>
      </c>
      <c r="D590" s="91" t="s">
        <v>261</v>
      </c>
      <c r="E590" s="99">
        <v>38944</v>
      </c>
      <c r="F590" s="94">
        <f t="shared" ca="1" si="24"/>
        <v>10</v>
      </c>
      <c r="G590" s="95" t="s">
        <v>283</v>
      </c>
      <c r="H590" s="96">
        <v>48700</v>
      </c>
      <c r="I590" s="97">
        <v>3</v>
      </c>
    </row>
    <row r="591" spans="1:9" ht="13.5" x14ac:dyDescent="0.25">
      <c r="A591" s="91" t="s">
        <v>767</v>
      </c>
      <c r="B591" s="92" t="s">
        <v>266</v>
      </c>
      <c r="C591" s="91" t="s">
        <v>767</v>
      </c>
      <c r="D591" s="91" t="s">
        <v>261</v>
      </c>
      <c r="E591" s="93">
        <v>38983</v>
      </c>
      <c r="F591" s="94">
        <f t="shared" ca="1" si="24"/>
        <v>10</v>
      </c>
      <c r="G591" s="95" t="s">
        <v>257</v>
      </c>
      <c r="H591" s="96">
        <v>11810</v>
      </c>
      <c r="I591" s="97">
        <v>1</v>
      </c>
    </row>
    <row r="592" spans="1:9" ht="13.5" x14ac:dyDescent="0.25">
      <c r="A592" s="91" t="s">
        <v>767</v>
      </c>
      <c r="B592" s="92" t="s">
        <v>271</v>
      </c>
      <c r="C592" s="91" t="s">
        <v>767</v>
      </c>
      <c r="D592" s="91" t="s">
        <v>247</v>
      </c>
      <c r="E592" s="99">
        <v>39094</v>
      </c>
      <c r="F592" s="94">
        <f t="shared" ca="1" si="24"/>
        <v>9</v>
      </c>
      <c r="G592" s="95"/>
      <c r="H592" s="96">
        <v>39550</v>
      </c>
      <c r="I592" s="97">
        <v>5</v>
      </c>
    </row>
    <row r="593" spans="1:9" ht="13.5" x14ac:dyDescent="0.25">
      <c r="A593" s="91" t="s">
        <v>767</v>
      </c>
      <c r="B593" s="92" t="s">
        <v>245</v>
      </c>
      <c r="C593" s="91" t="s">
        <v>767</v>
      </c>
      <c r="D593" s="91" t="s">
        <v>247</v>
      </c>
      <c r="E593" s="99">
        <v>39100</v>
      </c>
      <c r="F593" s="94">
        <f t="shared" ca="1" si="24"/>
        <v>9</v>
      </c>
      <c r="G593" s="95"/>
      <c r="H593" s="96">
        <v>57680</v>
      </c>
      <c r="I593" s="97">
        <v>4</v>
      </c>
    </row>
    <row r="594" spans="1:9" ht="13.5" x14ac:dyDescent="0.25">
      <c r="A594" s="91" t="s">
        <v>767</v>
      </c>
      <c r="B594" s="92" t="s">
        <v>245</v>
      </c>
      <c r="C594" s="91" t="s">
        <v>767</v>
      </c>
      <c r="D594" s="91" t="s">
        <v>261</v>
      </c>
      <c r="E594" s="99">
        <v>39111</v>
      </c>
      <c r="F594" s="94">
        <f t="shared" ca="1" si="24"/>
        <v>9</v>
      </c>
      <c r="G594" s="95" t="s">
        <v>262</v>
      </c>
      <c r="H594" s="96">
        <v>49355</v>
      </c>
      <c r="I594" s="97">
        <v>5</v>
      </c>
    </row>
    <row r="595" spans="1:9" ht="13.5" x14ac:dyDescent="0.25">
      <c r="A595" s="91" t="s">
        <v>767</v>
      </c>
      <c r="B595" s="92" t="s">
        <v>285</v>
      </c>
      <c r="C595" s="91" t="s">
        <v>767</v>
      </c>
      <c r="D595" s="91" t="s">
        <v>256</v>
      </c>
      <c r="E595" s="93">
        <v>39128</v>
      </c>
      <c r="F595" s="94">
        <f t="shared" ca="1" si="24"/>
        <v>9</v>
      </c>
      <c r="G595" s="95" t="s">
        <v>267</v>
      </c>
      <c r="H595" s="96">
        <v>59150</v>
      </c>
      <c r="I595" s="97">
        <v>4</v>
      </c>
    </row>
    <row r="596" spans="1:9" ht="13.5" x14ac:dyDescent="0.25">
      <c r="A596" s="91" t="s">
        <v>767</v>
      </c>
      <c r="B596" s="92" t="s">
        <v>285</v>
      </c>
      <c r="C596" s="91" t="s">
        <v>767</v>
      </c>
      <c r="D596" s="91" t="s">
        <v>256</v>
      </c>
      <c r="E596" s="93">
        <v>39167</v>
      </c>
      <c r="F596" s="94">
        <f t="shared" ca="1" si="24"/>
        <v>9</v>
      </c>
      <c r="G596" s="95" t="s">
        <v>267</v>
      </c>
      <c r="H596" s="96">
        <v>63206</v>
      </c>
      <c r="I596" s="97">
        <v>1</v>
      </c>
    </row>
    <row r="597" spans="1:9" ht="13.5" x14ac:dyDescent="0.25">
      <c r="A597" s="91" t="s">
        <v>767</v>
      </c>
      <c r="B597" s="92" t="s">
        <v>271</v>
      </c>
      <c r="C597" s="91" t="s">
        <v>767</v>
      </c>
      <c r="D597" s="91" t="s">
        <v>256</v>
      </c>
      <c r="E597" s="93">
        <v>39314</v>
      </c>
      <c r="F597" s="94">
        <f t="shared" ca="1" si="24"/>
        <v>9</v>
      </c>
      <c r="G597" s="95" t="s">
        <v>276</v>
      </c>
      <c r="H597" s="96">
        <v>86500</v>
      </c>
      <c r="I597" s="97">
        <v>1</v>
      </c>
    </row>
    <row r="598" spans="1:9" ht="13.5" x14ac:dyDescent="0.25">
      <c r="A598" s="98"/>
      <c r="B598" s="92"/>
      <c r="C598" s="98"/>
      <c r="D598" s="91"/>
      <c r="E598" s="93"/>
      <c r="F598" s="94"/>
      <c r="G598" s="95"/>
      <c r="H598" s="96"/>
      <c r="I598" s="97"/>
    </row>
    <row r="599" spans="1:9" ht="13.5" x14ac:dyDescent="0.25">
      <c r="A599" s="91" t="s">
        <v>856</v>
      </c>
      <c r="B599" s="92" t="s">
        <v>285</v>
      </c>
      <c r="C599" s="91" t="s">
        <v>856</v>
      </c>
      <c r="D599" s="91" t="s">
        <v>256</v>
      </c>
      <c r="E599" s="93">
        <v>31912</v>
      </c>
      <c r="F599" s="94">
        <f t="shared" ref="F599:F630" ca="1" si="25">DATEDIF(E599,TODAY(),"Y")</f>
        <v>29</v>
      </c>
      <c r="G599" s="95" t="s">
        <v>257</v>
      </c>
      <c r="H599" s="96">
        <v>53900</v>
      </c>
      <c r="I599" s="97">
        <v>5</v>
      </c>
    </row>
    <row r="600" spans="1:9" ht="13.5" x14ac:dyDescent="0.25">
      <c r="A600" s="91" t="s">
        <v>856</v>
      </c>
      <c r="B600" s="92" t="s">
        <v>245</v>
      </c>
      <c r="C600" s="91" t="s">
        <v>856</v>
      </c>
      <c r="D600" s="91" t="s">
        <v>252</v>
      </c>
      <c r="E600" s="93">
        <v>31946</v>
      </c>
      <c r="F600" s="94">
        <f t="shared" ca="1" si="25"/>
        <v>29</v>
      </c>
      <c r="G600" s="95"/>
      <c r="H600" s="96">
        <v>30468</v>
      </c>
      <c r="I600" s="97">
        <v>2</v>
      </c>
    </row>
    <row r="601" spans="1:9" ht="13.5" x14ac:dyDescent="0.25">
      <c r="A601" s="91" t="s">
        <v>856</v>
      </c>
      <c r="B601" s="92" t="s">
        <v>285</v>
      </c>
      <c r="C601" s="91" t="s">
        <v>856</v>
      </c>
      <c r="D601" s="91" t="s">
        <v>256</v>
      </c>
      <c r="E601" s="93">
        <v>31959</v>
      </c>
      <c r="F601" s="94">
        <f t="shared" ca="1" si="25"/>
        <v>29</v>
      </c>
      <c r="G601" s="95" t="s">
        <v>283</v>
      </c>
      <c r="H601" s="96">
        <v>24840</v>
      </c>
      <c r="I601" s="97">
        <v>1</v>
      </c>
    </row>
    <row r="602" spans="1:9" ht="13.5" x14ac:dyDescent="0.25">
      <c r="A602" s="91" t="s">
        <v>856</v>
      </c>
      <c r="B602" s="92" t="s">
        <v>251</v>
      </c>
      <c r="C602" s="91" t="s">
        <v>856</v>
      </c>
      <c r="D602" s="91" t="s">
        <v>247</v>
      </c>
      <c r="E602" s="93">
        <v>31972</v>
      </c>
      <c r="F602" s="94">
        <f t="shared" ca="1" si="25"/>
        <v>29</v>
      </c>
      <c r="G602" s="95"/>
      <c r="H602" s="96">
        <v>89450</v>
      </c>
      <c r="I602" s="97">
        <v>2</v>
      </c>
    </row>
    <row r="603" spans="1:9" ht="13.5" x14ac:dyDescent="0.25">
      <c r="A603" s="91" t="s">
        <v>856</v>
      </c>
      <c r="B603" s="92" t="s">
        <v>271</v>
      </c>
      <c r="C603" s="91" t="s">
        <v>856</v>
      </c>
      <c r="D603" s="91" t="s">
        <v>247</v>
      </c>
      <c r="E603" s="93">
        <v>32111</v>
      </c>
      <c r="F603" s="94">
        <f t="shared" ca="1" si="25"/>
        <v>28</v>
      </c>
      <c r="G603" s="95"/>
      <c r="H603" s="96">
        <v>46650</v>
      </c>
      <c r="I603" s="97">
        <v>2</v>
      </c>
    </row>
    <row r="604" spans="1:9" ht="13.5" x14ac:dyDescent="0.25">
      <c r="A604" s="91" t="s">
        <v>856</v>
      </c>
      <c r="B604" s="92" t="s">
        <v>251</v>
      </c>
      <c r="C604" s="91" t="s">
        <v>856</v>
      </c>
      <c r="D604" s="91" t="s">
        <v>256</v>
      </c>
      <c r="E604" s="93">
        <v>32144</v>
      </c>
      <c r="F604" s="94">
        <f t="shared" ca="1" si="25"/>
        <v>28</v>
      </c>
      <c r="G604" s="95" t="s">
        <v>257</v>
      </c>
      <c r="H604" s="96">
        <v>67920</v>
      </c>
      <c r="I604" s="97">
        <v>4</v>
      </c>
    </row>
    <row r="605" spans="1:9" ht="13.5" x14ac:dyDescent="0.25">
      <c r="A605" s="91" t="s">
        <v>856</v>
      </c>
      <c r="B605" s="92" t="s">
        <v>266</v>
      </c>
      <c r="C605" s="91" t="s">
        <v>856</v>
      </c>
      <c r="D605" s="91" t="s">
        <v>256</v>
      </c>
      <c r="E605" s="93">
        <v>32238</v>
      </c>
      <c r="F605" s="94">
        <f t="shared" ca="1" si="25"/>
        <v>28</v>
      </c>
      <c r="G605" s="95" t="s">
        <v>283</v>
      </c>
      <c r="H605" s="96">
        <v>63050</v>
      </c>
      <c r="I605" s="97">
        <v>3</v>
      </c>
    </row>
    <row r="606" spans="1:9" ht="13.5" x14ac:dyDescent="0.25">
      <c r="A606" s="91" t="s">
        <v>856</v>
      </c>
      <c r="B606" s="92" t="s">
        <v>285</v>
      </c>
      <c r="C606" s="91" t="s">
        <v>856</v>
      </c>
      <c r="D606" s="91" t="s">
        <v>256</v>
      </c>
      <c r="E606" s="93">
        <v>32294</v>
      </c>
      <c r="F606" s="94">
        <f t="shared" ca="1" si="25"/>
        <v>28</v>
      </c>
      <c r="G606" s="95" t="s">
        <v>257</v>
      </c>
      <c r="H606" s="96">
        <v>54830</v>
      </c>
      <c r="I606" s="97">
        <v>1</v>
      </c>
    </row>
    <row r="607" spans="1:9" ht="13.5" x14ac:dyDescent="0.25">
      <c r="A607" s="91" t="s">
        <v>856</v>
      </c>
      <c r="B607" s="92" t="s">
        <v>285</v>
      </c>
      <c r="C607" s="91" t="s">
        <v>856</v>
      </c>
      <c r="D607" s="91" t="s">
        <v>256</v>
      </c>
      <c r="E607" s="93">
        <v>32375</v>
      </c>
      <c r="F607" s="94">
        <f t="shared" ca="1" si="25"/>
        <v>28</v>
      </c>
      <c r="G607" s="95" t="s">
        <v>257</v>
      </c>
      <c r="H607" s="96">
        <v>65571</v>
      </c>
      <c r="I607" s="97">
        <v>3</v>
      </c>
    </row>
    <row r="608" spans="1:9" ht="13.5" x14ac:dyDescent="0.25">
      <c r="A608" s="91" t="s">
        <v>856</v>
      </c>
      <c r="B608" s="92" t="s">
        <v>285</v>
      </c>
      <c r="C608" s="91" t="s">
        <v>856</v>
      </c>
      <c r="D608" s="91" t="s">
        <v>256</v>
      </c>
      <c r="E608" s="93">
        <v>32401</v>
      </c>
      <c r="F608" s="94">
        <f t="shared" ca="1" si="25"/>
        <v>28</v>
      </c>
      <c r="G608" s="95" t="s">
        <v>257</v>
      </c>
      <c r="H608" s="96">
        <v>68470</v>
      </c>
      <c r="I608" s="97">
        <v>4</v>
      </c>
    </row>
    <row r="609" spans="1:9" ht="13.5" x14ac:dyDescent="0.25">
      <c r="A609" s="91" t="s">
        <v>856</v>
      </c>
      <c r="B609" s="92" t="s">
        <v>271</v>
      </c>
      <c r="C609" s="91" t="s">
        <v>856</v>
      </c>
      <c r="D609" s="91" t="s">
        <v>256</v>
      </c>
      <c r="E609" s="93">
        <v>32542</v>
      </c>
      <c r="F609" s="94">
        <f t="shared" ca="1" si="25"/>
        <v>27</v>
      </c>
      <c r="G609" s="95" t="s">
        <v>276</v>
      </c>
      <c r="H609" s="96">
        <v>86240</v>
      </c>
      <c r="I609" s="97">
        <v>1</v>
      </c>
    </row>
    <row r="610" spans="1:9" ht="13.5" x14ac:dyDescent="0.25">
      <c r="A610" s="91" t="s">
        <v>856</v>
      </c>
      <c r="B610" s="92" t="s">
        <v>266</v>
      </c>
      <c r="C610" s="91" t="s">
        <v>856</v>
      </c>
      <c r="D610" s="91" t="s">
        <v>261</v>
      </c>
      <c r="E610" s="93">
        <v>32580</v>
      </c>
      <c r="F610" s="94">
        <f t="shared" ca="1" si="25"/>
        <v>27</v>
      </c>
      <c r="G610" s="95" t="s">
        <v>283</v>
      </c>
      <c r="H610" s="96">
        <v>25885</v>
      </c>
      <c r="I610" s="97">
        <v>5</v>
      </c>
    </row>
    <row r="611" spans="1:9" ht="13.5" x14ac:dyDescent="0.25">
      <c r="A611" s="91" t="s">
        <v>856</v>
      </c>
      <c r="B611" s="92" t="s">
        <v>285</v>
      </c>
      <c r="C611" s="91" t="s">
        <v>856</v>
      </c>
      <c r="D611" s="91" t="s">
        <v>247</v>
      </c>
      <c r="E611" s="93">
        <v>32604</v>
      </c>
      <c r="F611" s="94">
        <f t="shared" ca="1" si="25"/>
        <v>27</v>
      </c>
      <c r="G611" s="95"/>
      <c r="H611" s="96">
        <v>55690</v>
      </c>
      <c r="I611" s="97">
        <v>2</v>
      </c>
    </row>
    <row r="612" spans="1:9" ht="13.5" x14ac:dyDescent="0.25">
      <c r="A612" s="91" t="s">
        <v>856</v>
      </c>
      <c r="B612" s="92" t="s">
        <v>245</v>
      </c>
      <c r="C612" s="91" t="s">
        <v>856</v>
      </c>
      <c r="D612" s="91" t="s">
        <v>256</v>
      </c>
      <c r="E612" s="93">
        <v>32700</v>
      </c>
      <c r="F612" s="94">
        <f t="shared" ca="1" si="25"/>
        <v>27</v>
      </c>
      <c r="G612" s="95" t="s">
        <v>257</v>
      </c>
      <c r="H612" s="96">
        <v>54270</v>
      </c>
      <c r="I612" s="97">
        <v>3</v>
      </c>
    </row>
    <row r="613" spans="1:9" ht="13.5" x14ac:dyDescent="0.25">
      <c r="A613" s="91" t="s">
        <v>856</v>
      </c>
      <c r="B613" s="92" t="s">
        <v>251</v>
      </c>
      <c r="C613" s="91" t="s">
        <v>856</v>
      </c>
      <c r="D613" s="91" t="s">
        <v>256</v>
      </c>
      <c r="E613" s="93">
        <v>32711</v>
      </c>
      <c r="F613" s="94">
        <f t="shared" ca="1" si="25"/>
        <v>27</v>
      </c>
      <c r="G613" s="95" t="s">
        <v>283</v>
      </c>
      <c r="H613" s="96">
        <v>45110</v>
      </c>
      <c r="I613" s="97">
        <v>2</v>
      </c>
    </row>
    <row r="614" spans="1:9" ht="13.5" x14ac:dyDescent="0.25">
      <c r="A614" s="91" t="s">
        <v>856</v>
      </c>
      <c r="B614" s="92" t="s">
        <v>271</v>
      </c>
      <c r="C614" s="91" t="s">
        <v>856</v>
      </c>
      <c r="D614" s="91" t="s">
        <v>256</v>
      </c>
      <c r="E614" s="93">
        <v>32718</v>
      </c>
      <c r="F614" s="94">
        <f t="shared" ca="1" si="25"/>
        <v>27</v>
      </c>
      <c r="G614" s="95" t="s">
        <v>283</v>
      </c>
      <c r="H614" s="96">
        <v>66824</v>
      </c>
      <c r="I614" s="97">
        <v>2</v>
      </c>
    </row>
    <row r="615" spans="1:9" ht="13.5" x14ac:dyDescent="0.25">
      <c r="A615" s="91" t="s">
        <v>856</v>
      </c>
      <c r="B615" s="92" t="s">
        <v>285</v>
      </c>
      <c r="C615" s="91" t="s">
        <v>856</v>
      </c>
      <c r="D615" s="91" t="s">
        <v>256</v>
      </c>
      <c r="E615" s="93">
        <v>32850</v>
      </c>
      <c r="F615" s="94">
        <f t="shared" ca="1" si="25"/>
        <v>26</v>
      </c>
      <c r="G615" s="95" t="s">
        <v>257</v>
      </c>
      <c r="H615" s="96">
        <v>54200</v>
      </c>
      <c r="I615" s="97">
        <v>4</v>
      </c>
    </row>
    <row r="616" spans="1:9" ht="13.5" x14ac:dyDescent="0.25">
      <c r="A616" s="91" t="s">
        <v>856</v>
      </c>
      <c r="B616" s="92" t="s">
        <v>271</v>
      </c>
      <c r="C616" s="91" t="s">
        <v>856</v>
      </c>
      <c r="D616" s="91" t="s">
        <v>252</v>
      </c>
      <c r="E616" s="93">
        <v>32870</v>
      </c>
      <c r="F616" s="94">
        <f t="shared" ca="1" si="25"/>
        <v>26</v>
      </c>
      <c r="G616" s="95"/>
      <c r="H616" s="96">
        <v>26484</v>
      </c>
      <c r="I616" s="97">
        <v>5</v>
      </c>
    </row>
    <row r="617" spans="1:9" ht="13.5" x14ac:dyDescent="0.25">
      <c r="A617" s="91" t="s">
        <v>856</v>
      </c>
      <c r="B617" s="92" t="s">
        <v>271</v>
      </c>
      <c r="C617" s="91" t="s">
        <v>856</v>
      </c>
      <c r="D617" s="91" t="s">
        <v>256</v>
      </c>
      <c r="E617" s="93">
        <v>32975</v>
      </c>
      <c r="F617" s="94">
        <f t="shared" ca="1" si="25"/>
        <v>26</v>
      </c>
      <c r="G617" s="95" t="s">
        <v>267</v>
      </c>
      <c r="H617" s="96">
        <v>48490</v>
      </c>
      <c r="I617" s="97">
        <v>2</v>
      </c>
    </row>
    <row r="618" spans="1:9" ht="13.5" x14ac:dyDescent="0.25">
      <c r="A618" s="91" t="s">
        <v>856</v>
      </c>
      <c r="B618" s="92" t="s">
        <v>271</v>
      </c>
      <c r="C618" s="91" t="s">
        <v>856</v>
      </c>
      <c r="D618" s="91" t="s">
        <v>252</v>
      </c>
      <c r="E618" s="93">
        <v>33035</v>
      </c>
      <c r="F618" s="94">
        <f t="shared" ca="1" si="25"/>
        <v>26</v>
      </c>
      <c r="G618" s="95"/>
      <c r="H618" s="96">
        <v>36788</v>
      </c>
      <c r="I618" s="97">
        <v>4</v>
      </c>
    </row>
    <row r="619" spans="1:9" ht="13.5" x14ac:dyDescent="0.25">
      <c r="A619" s="91" t="s">
        <v>856</v>
      </c>
      <c r="B619" s="92" t="s">
        <v>271</v>
      </c>
      <c r="C619" s="91" t="s">
        <v>856</v>
      </c>
      <c r="D619" s="91" t="s">
        <v>256</v>
      </c>
      <c r="E619" s="93">
        <v>33444</v>
      </c>
      <c r="F619" s="94">
        <f t="shared" ca="1" si="25"/>
        <v>25</v>
      </c>
      <c r="G619" s="95" t="s">
        <v>257</v>
      </c>
      <c r="H619" s="96">
        <v>39000</v>
      </c>
      <c r="I619" s="97">
        <v>5</v>
      </c>
    </row>
    <row r="620" spans="1:9" ht="13.5" x14ac:dyDescent="0.25">
      <c r="A620" s="91" t="s">
        <v>856</v>
      </c>
      <c r="B620" s="92" t="s">
        <v>285</v>
      </c>
      <c r="C620" s="91" t="s">
        <v>856</v>
      </c>
      <c r="D620" s="91" t="s">
        <v>256</v>
      </c>
      <c r="E620" s="93">
        <v>33490</v>
      </c>
      <c r="F620" s="94">
        <f t="shared" ca="1" si="25"/>
        <v>25</v>
      </c>
      <c r="G620" s="95" t="s">
        <v>262</v>
      </c>
      <c r="H620" s="96">
        <v>82700</v>
      </c>
      <c r="I620" s="97">
        <v>3</v>
      </c>
    </row>
    <row r="621" spans="1:9" ht="13.5" x14ac:dyDescent="0.25">
      <c r="A621" s="91" t="s">
        <v>856</v>
      </c>
      <c r="B621" s="92" t="s">
        <v>266</v>
      </c>
      <c r="C621" s="91" t="s">
        <v>856</v>
      </c>
      <c r="D621" s="91" t="s">
        <v>252</v>
      </c>
      <c r="E621" s="93">
        <v>33724</v>
      </c>
      <c r="F621" s="94">
        <f t="shared" ca="1" si="25"/>
        <v>24</v>
      </c>
      <c r="G621" s="95"/>
      <c r="H621" s="96">
        <v>23692</v>
      </c>
      <c r="I621" s="97">
        <v>4</v>
      </c>
    </row>
    <row r="622" spans="1:9" ht="13.5" x14ac:dyDescent="0.25">
      <c r="A622" s="91" t="s">
        <v>856</v>
      </c>
      <c r="B622" s="92" t="s">
        <v>271</v>
      </c>
      <c r="C622" s="91" t="s">
        <v>856</v>
      </c>
      <c r="D622" s="91" t="s">
        <v>256</v>
      </c>
      <c r="E622" s="93">
        <v>34046</v>
      </c>
      <c r="F622" s="94">
        <f t="shared" ca="1" si="25"/>
        <v>23</v>
      </c>
      <c r="G622" s="95" t="s">
        <v>262</v>
      </c>
      <c r="H622" s="96">
        <v>63030</v>
      </c>
      <c r="I622" s="97">
        <v>1</v>
      </c>
    </row>
    <row r="623" spans="1:9" ht="13.5" x14ac:dyDescent="0.25">
      <c r="A623" s="91" t="s">
        <v>856</v>
      </c>
      <c r="B623" s="92" t="s">
        <v>271</v>
      </c>
      <c r="C623" s="91" t="s">
        <v>856</v>
      </c>
      <c r="D623" s="91" t="s">
        <v>256</v>
      </c>
      <c r="E623" s="93">
        <v>34063</v>
      </c>
      <c r="F623" s="94">
        <f t="shared" ca="1" si="25"/>
        <v>23</v>
      </c>
      <c r="G623" s="95" t="s">
        <v>283</v>
      </c>
      <c r="H623" s="96">
        <v>66440</v>
      </c>
      <c r="I623" s="97">
        <v>3</v>
      </c>
    </row>
    <row r="624" spans="1:9" ht="13.5" x14ac:dyDescent="0.25">
      <c r="A624" s="91" t="s">
        <v>856</v>
      </c>
      <c r="B624" s="92" t="s">
        <v>271</v>
      </c>
      <c r="C624" s="91" t="s">
        <v>856</v>
      </c>
      <c r="D624" s="91" t="s">
        <v>252</v>
      </c>
      <c r="E624" s="93">
        <v>34092</v>
      </c>
      <c r="F624" s="94">
        <f t="shared" ca="1" si="25"/>
        <v>23</v>
      </c>
      <c r="G624" s="95"/>
      <c r="H624" s="96">
        <v>33508</v>
      </c>
      <c r="I624" s="97">
        <v>4</v>
      </c>
    </row>
    <row r="625" spans="1:9" ht="13.5" x14ac:dyDescent="0.25">
      <c r="A625" s="91" t="s">
        <v>856</v>
      </c>
      <c r="B625" s="92" t="s">
        <v>285</v>
      </c>
      <c r="C625" s="91" t="s">
        <v>856</v>
      </c>
      <c r="D625" s="91" t="s">
        <v>256</v>
      </c>
      <c r="E625" s="93">
        <v>34098</v>
      </c>
      <c r="F625" s="94">
        <f t="shared" ca="1" si="25"/>
        <v>23</v>
      </c>
      <c r="G625" s="95" t="s">
        <v>283</v>
      </c>
      <c r="H625" s="96">
        <v>34330</v>
      </c>
      <c r="I625" s="97">
        <v>3</v>
      </c>
    </row>
    <row r="626" spans="1:9" ht="13.5" x14ac:dyDescent="0.25">
      <c r="A626" s="91" t="s">
        <v>856</v>
      </c>
      <c r="B626" s="92" t="s">
        <v>285</v>
      </c>
      <c r="C626" s="91" t="s">
        <v>856</v>
      </c>
      <c r="D626" s="91" t="s">
        <v>256</v>
      </c>
      <c r="E626" s="93">
        <v>34098</v>
      </c>
      <c r="F626" s="94">
        <f t="shared" ca="1" si="25"/>
        <v>23</v>
      </c>
      <c r="G626" s="95" t="s">
        <v>283</v>
      </c>
      <c r="H626" s="96">
        <v>34330</v>
      </c>
      <c r="I626" s="97">
        <v>3</v>
      </c>
    </row>
    <row r="627" spans="1:9" ht="13.5" x14ac:dyDescent="0.25">
      <c r="A627" s="91" t="s">
        <v>856</v>
      </c>
      <c r="B627" s="92" t="s">
        <v>245</v>
      </c>
      <c r="C627" s="91" t="s">
        <v>856</v>
      </c>
      <c r="D627" s="91" t="s">
        <v>256</v>
      </c>
      <c r="E627" s="93">
        <v>34141</v>
      </c>
      <c r="F627" s="94">
        <f t="shared" ca="1" si="25"/>
        <v>23</v>
      </c>
      <c r="G627" s="95" t="s">
        <v>276</v>
      </c>
      <c r="H627" s="96">
        <v>62965</v>
      </c>
      <c r="I627" s="97">
        <v>1</v>
      </c>
    </row>
    <row r="628" spans="1:9" ht="13.5" x14ac:dyDescent="0.25">
      <c r="A628" s="91" t="s">
        <v>856</v>
      </c>
      <c r="B628" s="92" t="s">
        <v>285</v>
      </c>
      <c r="C628" s="91" t="s">
        <v>856</v>
      </c>
      <c r="D628" s="91" t="s">
        <v>256</v>
      </c>
      <c r="E628" s="93">
        <v>34187</v>
      </c>
      <c r="F628" s="94">
        <f t="shared" ca="1" si="25"/>
        <v>23</v>
      </c>
      <c r="G628" s="95" t="s">
        <v>257</v>
      </c>
      <c r="H628" s="96">
        <v>78710</v>
      </c>
      <c r="I628" s="97">
        <v>4</v>
      </c>
    </row>
    <row r="629" spans="1:9" ht="13.5" x14ac:dyDescent="0.25">
      <c r="A629" s="91" t="s">
        <v>856</v>
      </c>
      <c r="B629" s="92" t="s">
        <v>285</v>
      </c>
      <c r="C629" s="91" t="s">
        <v>856</v>
      </c>
      <c r="D629" s="91" t="s">
        <v>256</v>
      </c>
      <c r="E629" s="93">
        <v>34259</v>
      </c>
      <c r="F629" s="94">
        <f t="shared" ca="1" si="25"/>
        <v>23</v>
      </c>
      <c r="G629" s="95" t="s">
        <v>283</v>
      </c>
      <c r="H629" s="96">
        <v>37770</v>
      </c>
      <c r="I629" s="97">
        <v>5</v>
      </c>
    </row>
    <row r="630" spans="1:9" ht="13.5" x14ac:dyDescent="0.25">
      <c r="A630" s="91" t="s">
        <v>856</v>
      </c>
      <c r="B630" s="92" t="s">
        <v>271</v>
      </c>
      <c r="C630" s="91" t="s">
        <v>856</v>
      </c>
      <c r="D630" s="91" t="s">
        <v>261</v>
      </c>
      <c r="E630" s="93">
        <v>34378</v>
      </c>
      <c r="F630" s="94">
        <f t="shared" ca="1" si="25"/>
        <v>22</v>
      </c>
      <c r="G630" s="95" t="s">
        <v>283</v>
      </c>
      <c r="H630" s="96">
        <v>42740</v>
      </c>
      <c r="I630" s="97">
        <v>2</v>
      </c>
    </row>
    <row r="631" spans="1:9" ht="13.5" x14ac:dyDescent="0.25">
      <c r="A631" s="91" t="s">
        <v>856</v>
      </c>
      <c r="B631" s="92" t="s">
        <v>280</v>
      </c>
      <c r="C631" s="91" t="s">
        <v>856</v>
      </c>
      <c r="D631" s="91" t="s">
        <v>256</v>
      </c>
      <c r="E631" s="93">
        <v>34405</v>
      </c>
      <c r="F631" s="94">
        <f t="shared" ref="F631:F662" ca="1" si="26">DATEDIF(E631,TODAY(),"Y")</f>
        <v>22</v>
      </c>
      <c r="G631" s="95" t="s">
        <v>283</v>
      </c>
      <c r="H631" s="96">
        <v>32120</v>
      </c>
      <c r="I631" s="97">
        <v>1</v>
      </c>
    </row>
    <row r="632" spans="1:9" ht="13.5" x14ac:dyDescent="0.25">
      <c r="A632" s="91" t="s">
        <v>856</v>
      </c>
      <c r="B632" s="92" t="s">
        <v>271</v>
      </c>
      <c r="C632" s="91" t="s">
        <v>856</v>
      </c>
      <c r="D632" s="91" t="s">
        <v>247</v>
      </c>
      <c r="E632" s="93">
        <v>34496</v>
      </c>
      <c r="F632" s="94">
        <f t="shared" ca="1" si="26"/>
        <v>22</v>
      </c>
      <c r="G632" s="95"/>
      <c r="H632" s="96">
        <v>86100</v>
      </c>
      <c r="I632" s="97">
        <v>4</v>
      </c>
    </row>
    <row r="633" spans="1:9" ht="13.5" x14ac:dyDescent="0.25">
      <c r="A633" s="91" t="s">
        <v>856</v>
      </c>
      <c r="B633" s="92" t="s">
        <v>280</v>
      </c>
      <c r="C633" s="91" t="s">
        <v>856</v>
      </c>
      <c r="D633" s="91" t="s">
        <v>261</v>
      </c>
      <c r="E633" s="93">
        <v>34532</v>
      </c>
      <c r="F633" s="94">
        <f t="shared" ca="1" si="26"/>
        <v>22</v>
      </c>
      <c r="G633" s="95" t="s">
        <v>267</v>
      </c>
      <c r="H633" s="96">
        <v>39530</v>
      </c>
      <c r="I633" s="97">
        <v>5</v>
      </c>
    </row>
    <row r="634" spans="1:9" ht="13.5" x14ac:dyDescent="0.25">
      <c r="A634" s="91" t="s">
        <v>856</v>
      </c>
      <c r="B634" s="92" t="s">
        <v>271</v>
      </c>
      <c r="C634" s="91" t="s">
        <v>856</v>
      </c>
      <c r="D634" s="91" t="s">
        <v>252</v>
      </c>
      <c r="E634" s="93">
        <v>34551</v>
      </c>
      <c r="F634" s="94">
        <f t="shared" ca="1" si="26"/>
        <v>22</v>
      </c>
      <c r="G634" s="95"/>
      <c r="H634" s="96">
        <v>12836</v>
      </c>
      <c r="I634" s="97">
        <v>5</v>
      </c>
    </row>
    <row r="635" spans="1:9" ht="13.5" x14ac:dyDescent="0.25">
      <c r="A635" s="91" t="s">
        <v>856</v>
      </c>
      <c r="B635" s="92" t="s">
        <v>245</v>
      </c>
      <c r="C635" s="91" t="s">
        <v>856</v>
      </c>
      <c r="D635" s="91" t="s">
        <v>252</v>
      </c>
      <c r="E635" s="93">
        <v>34559</v>
      </c>
      <c r="F635" s="94">
        <f t="shared" ca="1" si="26"/>
        <v>22</v>
      </c>
      <c r="G635" s="95"/>
      <c r="H635" s="96">
        <v>17912</v>
      </c>
      <c r="I635" s="97">
        <v>5</v>
      </c>
    </row>
    <row r="636" spans="1:9" ht="13.5" x14ac:dyDescent="0.25">
      <c r="A636" s="91" t="s">
        <v>856</v>
      </c>
      <c r="B636" s="92" t="s">
        <v>285</v>
      </c>
      <c r="C636" s="91" t="s">
        <v>856</v>
      </c>
      <c r="D636" s="91" t="s">
        <v>256</v>
      </c>
      <c r="E636" s="93">
        <v>34586</v>
      </c>
      <c r="F636" s="94">
        <f t="shared" ca="1" si="26"/>
        <v>22</v>
      </c>
      <c r="G636" s="95" t="s">
        <v>283</v>
      </c>
      <c r="H636" s="96">
        <v>70280</v>
      </c>
      <c r="I636" s="97">
        <v>3</v>
      </c>
    </row>
    <row r="637" spans="1:9" ht="13.5" x14ac:dyDescent="0.25">
      <c r="A637" s="91" t="s">
        <v>856</v>
      </c>
      <c r="B637" s="92" t="s">
        <v>271</v>
      </c>
      <c r="C637" s="91" t="s">
        <v>856</v>
      </c>
      <c r="D637" s="91" t="s">
        <v>256</v>
      </c>
      <c r="E637" s="93">
        <v>34702</v>
      </c>
      <c r="F637" s="94">
        <f t="shared" ca="1" si="26"/>
        <v>21</v>
      </c>
      <c r="G637" s="95" t="s">
        <v>262</v>
      </c>
      <c r="H637" s="96">
        <v>78950</v>
      </c>
      <c r="I637" s="97">
        <v>1</v>
      </c>
    </row>
    <row r="638" spans="1:9" ht="13.5" x14ac:dyDescent="0.25">
      <c r="A638" s="91" t="s">
        <v>856</v>
      </c>
      <c r="B638" s="92" t="s">
        <v>245</v>
      </c>
      <c r="C638" s="91" t="s">
        <v>856</v>
      </c>
      <c r="D638" s="91" t="s">
        <v>247</v>
      </c>
      <c r="E638" s="93">
        <v>34760</v>
      </c>
      <c r="F638" s="94">
        <f t="shared" ca="1" si="26"/>
        <v>21</v>
      </c>
      <c r="G638" s="95"/>
      <c r="H638" s="96">
        <v>59050</v>
      </c>
      <c r="I638" s="97">
        <v>4</v>
      </c>
    </row>
    <row r="639" spans="1:9" ht="13.5" x14ac:dyDescent="0.25">
      <c r="A639" s="91" t="s">
        <v>856</v>
      </c>
      <c r="B639" s="92" t="s">
        <v>271</v>
      </c>
      <c r="C639" s="91" t="s">
        <v>856</v>
      </c>
      <c r="D639" s="91" t="s">
        <v>256</v>
      </c>
      <c r="E639" s="93">
        <v>34768</v>
      </c>
      <c r="F639" s="94">
        <f t="shared" ca="1" si="26"/>
        <v>21</v>
      </c>
      <c r="G639" s="95" t="s">
        <v>276</v>
      </c>
      <c r="H639" s="96">
        <v>79610</v>
      </c>
      <c r="I639" s="97">
        <v>2</v>
      </c>
    </row>
    <row r="640" spans="1:9" ht="13.5" x14ac:dyDescent="0.25">
      <c r="A640" s="91" t="s">
        <v>856</v>
      </c>
      <c r="B640" s="92" t="s">
        <v>245</v>
      </c>
      <c r="C640" s="91" t="s">
        <v>856</v>
      </c>
      <c r="D640" s="91" t="s">
        <v>256</v>
      </c>
      <c r="E640" s="93">
        <v>34771</v>
      </c>
      <c r="F640" s="94">
        <f t="shared" ca="1" si="26"/>
        <v>21</v>
      </c>
      <c r="G640" s="95" t="s">
        <v>283</v>
      </c>
      <c r="H640" s="96">
        <v>67407</v>
      </c>
      <c r="I640" s="97">
        <v>5</v>
      </c>
    </row>
    <row r="641" spans="1:9" ht="13.5" x14ac:dyDescent="0.25">
      <c r="A641" s="91" t="s">
        <v>856</v>
      </c>
      <c r="B641" s="92" t="s">
        <v>271</v>
      </c>
      <c r="C641" s="91" t="s">
        <v>856</v>
      </c>
      <c r="D641" s="91" t="s">
        <v>261</v>
      </c>
      <c r="E641" s="93">
        <v>34886</v>
      </c>
      <c r="F641" s="94">
        <f t="shared" ca="1" si="26"/>
        <v>21</v>
      </c>
      <c r="G641" s="95" t="s">
        <v>257</v>
      </c>
      <c r="H641" s="96">
        <v>34980</v>
      </c>
      <c r="I641" s="97">
        <v>2</v>
      </c>
    </row>
    <row r="642" spans="1:9" ht="13.5" x14ac:dyDescent="0.25">
      <c r="A642" s="91" t="s">
        <v>856</v>
      </c>
      <c r="B642" s="92" t="s">
        <v>285</v>
      </c>
      <c r="C642" s="91" t="s">
        <v>856</v>
      </c>
      <c r="D642" s="91" t="s">
        <v>247</v>
      </c>
      <c r="E642" s="93">
        <v>34904</v>
      </c>
      <c r="F642" s="94">
        <f t="shared" ca="1" si="26"/>
        <v>21</v>
      </c>
      <c r="G642" s="95"/>
      <c r="H642" s="96">
        <v>53310</v>
      </c>
      <c r="I642" s="97">
        <v>5</v>
      </c>
    </row>
    <row r="643" spans="1:9" ht="13.5" x14ac:dyDescent="0.25">
      <c r="A643" s="91" t="s">
        <v>856</v>
      </c>
      <c r="B643" s="92" t="s">
        <v>285</v>
      </c>
      <c r="C643" s="91" t="s">
        <v>856</v>
      </c>
      <c r="D643" s="91" t="s">
        <v>256</v>
      </c>
      <c r="E643" s="93">
        <v>34935</v>
      </c>
      <c r="F643" s="94">
        <f t="shared" ca="1" si="26"/>
        <v>21</v>
      </c>
      <c r="G643" s="95" t="s">
        <v>257</v>
      </c>
      <c r="H643" s="96">
        <v>58410</v>
      </c>
      <c r="I643" s="97">
        <v>5</v>
      </c>
    </row>
    <row r="644" spans="1:9" ht="13.5" x14ac:dyDescent="0.25">
      <c r="A644" s="91" t="s">
        <v>856</v>
      </c>
      <c r="B644" s="92" t="s">
        <v>245</v>
      </c>
      <c r="C644" s="91" t="s">
        <v>856</v>
      </c>
      <c r="D644" s="91" t="s">
        <v>256</v>
      </c>
      <c r="E644" s="93">
        <v>34980</v>
      </c>
      <c r="F644" s="94">
        <f t="shared" ca="1" si="26"/>
        <v>21</v>
      </c>
      <c r="G644" s="95" t="s">
        <v>283</v>
      </c>
      <c r="H644" s="96">
        <v>39000</v>
      </c>
      <c r="I644" s="97">
        <v>3</v>
      </c>
    </row>
    <row r="645" spans="1:9" ht="13.5" x14ac:dyDescent="0.25">
      <c r="A645" s="91" t="s">
        <v>856</v>
      </c>
      <c r="B645" s="92" t="s">
        <v>285</v>
      </c>
      <c r="C645" s="91" t="s">
        <v>856</v>
      </c>
      <c r="D645" s="91" t="s">
        <v>256</v>
      </c>
      <c r="E645" s="93">
        <v>35002</v>
      </c>
      <c r="F645" s="94">
        <f t="shared" ca="1" si="26"/>
        <v>21</v>
      </c>
      <c r="G645" s="95" t="s">
        <v>257</v>
      </c>
      <c r="H645" s="96">
        <v>69200</v>
      </c>
      <c r="I645" s="97">
        <v>4</v>
      </c>
    </row>
    <row r="646" spans="1:9" ht="13.5" x14ac:dyDescent="0.25">
      <c r="A646" s="91" t="s">
        <v>856</v>
      </c>
      <c r="B646" s="92" t="s">
        <v>245</v>
      </c>
      <c r="C646" s="91" t="s">
        <v>856</v>
      </c>
      <c r="D646" s="91" t="s">
        <v>256</v>
      </c>
      <c r="E646" s="93">
        <v>35050</v>
      </c>
      <c r="F646" s="94">
        <f t="shared" ca="1" si="26"/>
        <v>20</v>
      </c>
      <c r="G646" s="95" t="s">
        <v>283</v>
      </c>
      <c r="H646" s="96">
        <v>67020</v>
      </c>
      <c r="I646" s="97">
        <v>1</v>
      </c>
    </row>
    <row r="647" spans="1:9" ht="13.5" x14ac:dyDescent="0.25">
      <c r="A647" s="91" t="s">
        <v>856</v>
      </c>
      <c r="B647" s="92" t="s">
        <v>271</v>
      </c>
      <c r="C647" s="91" t="s">
        <v>856</v>
      </c>
      <c r="D647" s="91" t="s">
        <v>247</v>
      </c>
      <c r="E647" s="93">
        <v>35096</v>
      </c>
      <c r="F647" s="94">
        <f t="shared" ca="1" si="26"/>
        <v>20</v>
      </c>
      <c r="G647" s="95"/>
      <c r="H647" s="96">
        <v>60800</v>
      </c>
      <c r="I647" s="97">
        <v>4</v>
      </c>
    </row>
    <row r="648" spans="1:9" ht="13.5" x14ac:dyDescent="0.25">
      <c r="A648" s="91" t="s">
        <v>856</v>
      </c>
      <c r="B648" s="92" t="s">
        <v>285</v>
      </c>
      <c r="C648" s="91" t="s">
        <v>856</v>
      </c>
      <c r="D648" s="91" t="s">
        <v>256</v>
      </c>
      <c r="E648" s="93">
        <v>35097</v>
      </c>
      <c r="F648" s="94">
        <f t="shared" ca="1" si="26"/>
        <v>20</v>
      </c>
      <c r="G648" s="95" t="s">
        <v>262</v>
      </c>
      <c r="H648" s="96">
        <v>45880</v>
      </c>
      <c r="I648" s="97">
        <v>5</v>
      </c>
    </row>
    <row r="649" spans="1:9" ht="13.5" x14ac:dyDescent="0.25">
      <c r="A649" s="91" t="s">
        <v>856</v>
      </c>
      <c r="B649" s="92" t="s">
        <v>285</v>
      </c>
      <c r="C649" s="91" t="s">
        <v>856</v>
      </c>
      <c r="D649" s="91" t="s">
        <v>261</v>
      </c>
      <c r="E649" s="93">
        <v>35113</v>
      </c>
      <c r="F649" s="94">
        <f t="shared" ca="1" si="26"/>
        <v>20</v>
      </c>
      <c r="G649" s="95" t="s">
        <v>276</v>
      </c>
      <c r="H649" s="96">
        <v>47350</v>
      </c>
      <c r="I649" s="97">
        <v>1</v>
      </c>
    </row>
    <row r="650" spans="1:9" ht="13.5" x14ac:dyDescent="0.25">
      <c r="A650" s="91" t="s">
        <v>856</v>
      </c>
      <c r="B650" s="92" t="s">
        <v>285</v>
      </c>
      <c r="C650" s="91" t="s">
        <v>856</v>
      </c>
      <c r="D650" s="91" t="s">
        <v>247</v>
      </c>
      <c r="E650" s="93">
        <v>35169</v>
      </c>
      <c r="F650" s="94">
        <f t="shared" ca="1" si="26"/>
        <v>20</v>
      </c>
      <c r="G650" s="95"/>
      <c r="H650" s="96">
        <v>54840</v>
      </c>
      <c r="I650" s="97">
        <v>4</v>
      </c>
    </row>
    <row r="651" spans="1:9" ht="13.5" x14ac:dyDescent="0.25">
      <c r="A651" s="91" t="s">
        <v>856</v>
      </c>
      <c r="B651" s="92" t="s">
        <v>266</v>
      </c>
      <c r="C651" s="91" t="s">
        <v>856</v>
      </c>
      <c r="D651" s="91" t="s">
        <v>256</v>
      </c>
      <c r="E651" s="93">
        <v>35204</v>
      </c>
      <c r="F651" s="94">
        <f t="shared" ca="1" si="26"/>
        <v>20</v>
      </c>
      <c r="G651" s="95" t="s">
        <v>283</v>
      </c>
      <c r="H651" s="96">
        <v>48250</v>
      </c>
      <c r="I651" s="97">
        <v>3</v>
      </c>
    </row>
    <row r="652" spans="1:9" ht="13.5" x14ac:dyDescent="0.25">
      <c r="A652" s="91" t="s">
        <v>856</v>
      </c>
      <c r="B652" s="92" t="s">
        <v>285</v>
      </c>
      <c r="C652" s="91" t="s">
        <v>856</v>
      </c>
      <c r="D652" s="91" t="s">
        <v>256</v>
      </c>
      <c r="E652" s="93">
        <v>35216</v>
      </c>
      <c r="F652" s="94">
        <f t="shared" ca="1" si="26"/>
        <v>20</v>
      </c>
      <c r="G652" s="95" t="s">
        <v>257</v>
      </c>
      <c r="H652" s="96">
        <v>29260</v>
      </c>
      <c r="I652" s="97">
        <v>4</v>
      </c>
    </row>
    <row r="653" spans="1:9" ht="13.5" x14ac:dyDescent="0.25">
      <c r="A653" s="91" t="s">
        <v>856</v>
      </c>
      <c r="B653" s="92" t="s">
        <v>271</v>
      </c>
      <c r="C653" s="91" t="s">
        <v>856</v>
      </c>
      <c r="D653" s="91" t="s">
        <v>261</v>
      </c>
      <c r="E653" s="93">
        <v>35221</v>
      </c>
      <c r="F653" s="94">
        <f t="shared" ca="1" si="26"/>
        <v>20</v>
      </c>
      <c r="G653" s="95" t="s">
        <v>267</v>
      </c>
      <c r="H653" s="96">
        <v>20990</v>
      </c>
      <c r="I653" s="97">
        <v>4</v>
      </c>
    </row>
    <row r="654" spans="1:9" ht="13.5" x14ac:dyDescent="0.25">
      <c r="A654" s="91" t="s">
        <v>856</v>
      </c>
      <c r="B654" s="92" t="s">
        <v>266</v>
      </c>
      <c r="C654" s="91" t="s">
        <v>856</v>
      </c>
      <c r="D654" s="91" t="s">
        <v>252</v>
      </c>
      <c r="E654" s="93">
        <v>35247</v>
      </c>
      <c r="F654" s="94">
        <f t="shared" ca="1" si="26"/>
        <v>20</v>
      </c>
      <c r="G654" s="95"/>
      <c r="H654" s="96">
        <v>15552</v>
      </c>
      <c r="I654" s="97">
        <v>4</v>
      </c>
    </row>
    <row r="655" spans="1:9" ht="13.5" x14ac:dyDescent="0.25">
      <c r="A655" s="91" t="s">
        <v>856</v>
      </c>
      <c r="B655" s="92" t="s">
        <v>271</v>
      </c>
      <c r="C655" s="91" t="s">
        <v>856</v>
      </c>
      <c r="D655" s="91" t="s">
        <v>247</v>
      </c>
      <c r="E655" s="93">
        <v>35332</v>
      </c>
      <c r="F655" s="94">
        <f t="shared" ca="1" si="26"/>
        <v>20</v>
      </c>
      <c r="G655" s="95"/>
      <c r="H655" s="96">
        <v>77760</v>
      </c>
      <c r="I655" s="97">
        <v>3</v>
      </c>
    </row>
    <row r="656" spans="1:9" ht="13.5" x14ac:dyDescent="0.25">
      <c r="A656" s="91" t="s">
        <v>856</v>
      </c>
      <c r="B656" s="92" t="s">
        <v>271</v>
      </c>
      <c r="C656" s="91" t="s">
        <v>856</v>
      </c>
      <c r="D656" s="91" t="s">
        <v>247</v>
      </c>
      <c r="E656" s="93">
        <v>35332</v>
      </c>
      <c r="F656" s="94">
        <f t="shared" ca="1" si="26"/>
        <v>20</v>
      </c>
      <c r="G656" s="95"/>
      <c r="H656" s="96">
        <v>77760</v>
      </c>
      <c r="I656" s="97">
        <v>3</v>
      </c>
    </row>
    <row r="657" spans="1:9" ht="13.5" x14ac:dyDescent="0.25">
      <c r="A657" s="91" t="s">
        <v>856</v>
      </c>
      <c r="B657" s="92" t="s">
        <v>251</v>
      </c>
      <c r="C657" s="91" t="s">
        <v>856</v>
      </c>
      <c r="D657" s="91" t="s">
        <v>247</v>
      </c>
      <c r="E657" s="93">
        <v>35772</v>
      </c>
      <c r="F657" s="94">
        <f t="shared" ca="1" si="26"/>
        <v>18</v>
      </c>
      <c r="G657" s="95"/>
      <c r="H657" s="96">
        <v>46780</v>
      </c>
      <c r="I657" s="97">
        <v>2</v>
      </c>
    </row>
    <row r="658" spans="1:9" ht="13.5" x14ac:dyDescent="0.25">
      <c r="A658" s="91" t="s">
        <v>856</v>
      </c>
      <c r="B658" s="92" t="s">
        <v>266</v>
      </c>
      <c r="C658" s="91" t="s">
        <v>856</v>
      </c>
      <c r="D658" s="91" t="s">
        <v>256</v>
      </c>
      <c r="E658" s="93">
        <v>36315</v>
      </c>
      <c r="F658" s="94">
        <f t="shared" ca="1" si="26"/>
        <v>17</v>
      </c>
      <c r="G658" s="95" t="s">
        <v>283</v>
      </c>
      <c r="H658" s="96">
        <v>82490</v>
      </c>
      <c r="I658" s="97">
        <v>5</v>
      </c>
    </row>
    <row r="659" spans="1:9" ht="13.5" x14ac:dyDescent="0.25">
      <c r="A659" s="91" t="s">
        <v>856</v>
      </c>
      <c r="B659" s="92" t="s">
        <v>245</v>
      </c>
      <c r="C659" s="91" t="s">
        <v>856</v>
      </c>
      <c r="D659" s="91" t="s">
        <v>261</v>
      </c>
      <c r="E659" s="93">
        <v>36465</v>
      </c>
      <c r="F659" s="94">
        <f t="shared" ca="1" si="26"/>
        <v>17</v>
      </c>
      <c r="G659" s="95" t="s">
        <v>262</v>
      </c>
      <c r="H659" s="96">
        <v>28525</v>
      </c>
      <c r="I659" s="97">
        <v>4</v>
      </c>
    </row>
    <row r="660" spans="1:9" ht="13.5" x14ac:dyDescent="0.25">
      <c r="A660" s="91" t="s">
        <v>856</v>
      </c>
      <c r="B660" s="92" t="s">
        <v>280</v>
      </c>
      <c r="C660" s="91" t="s">
        <v>856</v>
      </c>
      <c r="D660" s="91" t="s">
        <v>256</v>
      </c>
      <c r="E660" s="93">
        <v>36483</v>
      </c>
      <c r="F660" s="94">
        <f t="shared" ca="1" si="26"/>
        <v>16</v>
      </c>
      <c r="G660" s="95" t="s">
        <v>257</v>
      </c>
      <c r="H660" s="96">
        <v>29210</v>
      </c>
      <c r="I660" s="97">
        <v>5</v>
      </c>
    </row>
    <row r="661" spans="1:9" ht="13.5" x14ac:dyDescent="0.25">
      <c r="A661" s="91" t="s">
        <v>856</v>
      </c>
      <c r="B661" s="92" t="s">
        <v>280</v>
      </c>
      <c r="C661" s="91" t="s">
        <v>856</v>
      </c>
      <c r="D661" s="91" t="s">
        <v>261</v>
      </c>
      <c r="E661" s="93">
        <v>36505</v>
      </c>
      <c r="F661" s="94">
        <f t="shared" ca="1" si="26"/>
        <v>16</v>
      </c>
      <c r="G661" s="95" t="s">
        <v>257</v>
      </c>
      <c r="H661" s="96">
        <v>48740</v>
      </c>
      <c r="I661" s="97">
        <v>1</v>
      </c>
    </row>
    <row r="662" spans="1:9" ht="13.5" x14ac:dyDescent="0.25">
      <c r="A662" s="91" t="s">
        <v>856</v>
      </c>
      <c r="B662" s="92" t="s">
        <v>251</v>
      </c>
      <c r="C662" s="91" t="s">
        <v>856</v>
      </c>
      <c r="D662" s="91" t="s">
        <v>247</v>
      </c>
      <c r="E662" s="93">
        <v>36717</v>
      </c>
      <c r="F662" s="94">
        <f t="shared" ca="1" si="26"/>
        <v>16</v>
      </c>
      <c r="G662" s="95"/>
      <c r="H662" s="96">
        <v>64590</v>
      </c>
      <c r="I662" s="97">
        <v>1</v>
      </c>
    </row>
    <row r="663" spans="1:9" ht="13.5" x14ac:dyDescent="0.25">
      <c r="A663" s="91" t="s">
        <v>856</v>
      </c>
      <c r="B663" s="92" t="s">
        <v>245</v>
      </c>
      <c r="C663" s="91" t="s">
        <v>856</v>
      </c>
      <c r="D663" s="91" t="s">
        <v>256</v>
      </c>
      <c r="E663" s="93">
        <v>36927</v>
      </c>
      <c r="F663" s="94">
        <f t="shared" ref="F663:F674" ca="1" si="27">DATEDIF(E663,TODAY(),"Y")</f>
        <v>15</v>
      </c>
      <c r="G663" s="95" t="s">
        <v>283</v>
      </c>
      <c r="H663" s="96">
        <v>31910</v>
      </c>
      <c r="I663" s="97">
        <v>5</v>
      </c>
    </row>
    <row r="664" spans="1:9" ht="13.5" x14ac:dyDescent="0.25">
      <c r="A664" s="91" t="s">
        <v>856</v>
      </c>
      <c r="B664" s="92" t="s">
        <v>280</v>
      </c>
      <c r="C664" s="91" t="s">
        <v>856</v>
      </c>
      <c r="D664" s="91" t="s">
        <v>256</v>
      </c>
      <c r="E664" s="93">
        <v>37043</v>
      </c>
      <c r="F664" s="94">
        <f t="shared" ca="1" si="27"/>
        <v>15</v>
      </c>
      <c r="G664" s="95" t="s">
        <v>283</v>
      </c>
      <c r="H664" s="96">
        <v>83710</v>
      </c>
      <c r="I664" s="97">
        <v>3</v>
      </c>
    </row>
    <row r="665" spans="1:9" ht="13.5" x14ac:dyDescent="0.25">
      <c r="A665" s="91" t="s">
        <v>856</v>
      </c>
      <c r="B665" s="92" t="s">
        <v>285</v>
      </c>
      <c r="C665" s="91" t="s">
        <v>856</v>
      </c>
      <c r="D665" s="91" t="s">
        <v>247</v>
      </c>
      <c r="E665" s="93">
        <v>37483</v>
      </c>
      <c r="F665" s="94">
        <f t="shared" ca="1" si="27"/>
        <v>14</v>
      </c>
      <c r="G665" s="95"/>
      <c r="H665" s="96">
        <v>85930</v>
      </c>
      <c r="I665" s="97">
        <v>2</v>
      </c>
    </row>
    <row r="666" spans="1:9" ht="13.5" x14ac:dyDescent="0.25">
      <c r="A666" s="91" t="s">
        <v>856</v>
      </c>
      <c r="B666" s="92" t="s">
        <v>285</v>
      </c>
      <c r="C666" s="91" t="s">
        <v>856</v>
      </c>
      <c r="D666" s="91" t="s">
        <v>247</v>
      </c>
      <c r="E666" s="93">
        <v>37483</v>
      </c>
      <c r="F666" s="94">
        <f t="shared" ca="1" si="27"/>
        <v>14</v>
      </c>
      <c r="G666" s="95"/>
      <c r="H666" s="96">
        <v>85930</v>
      </c>
      <c r="I666" s="97">
        <v>2</v>
      </c>
    </row>
    <row r="667" spans="1:9" ht="13.5" x14ac:dyDescent="0.25">
      <c r="A667" s="91" t="s">
        <v>856</v>
      </c>
      <c r="B667" s="92" t="s">
        <v>285</v>
      </c>
      <c r="C667" s="91" t="s">
        <v>856</v>
      </c>
      <c r="D667" s="91" t="s">
        <v>256</v>
      </c>
      <c r="E667" s="93">
        <v>37592</v>
      </c>
      <c r="F667" s="94">
        <f t="shared" ca="1" si="27"/>
        <v>13</v>
      </c>
      <c r="G667" s="95" t="s">
        <v>257</v>
      </c>
      <c r="H667" s="96">
        <v>73560</v>
      </c>
      <c r="I667" s="97">
        <v>3</v>
      </c>
    </row>
    <row r="668" spans="1:9" ht="13.5" x14ac:dyDescent="0.25">
      <c r="A668" s="91" t="s">
        <v>856</v>
      </c>
      <c r="B668" s="92" t="s">
        <v>245</v>
      </c>
      <c r="C668" s="91" t="s">
        <v>856</v>
      </c>
      <c r="D668" s="91" t="s">
        <v>256</v>
      </c>
      <c r="E668" s="93">
        <v>37843</v>
      </c>
      <c r="F668" s="94">
        <f t="shared" ca="1" si="27"/>
        <v>13</v>
      </c>
      <c r="G668" s="95" t="s">
        <v>283</v>
      </c>
      <c r="H668" s="96">
        <v>43600</v>
      </c>
      <c r="I668" s="97">
        <v>5</v>
      </c>
    </row>
    <row r="669" spans="1:9" ht="13.5" x14ac:dyDescent="0.25">
      <c r="A669" s="91" t="s">
        <v>856</v>
      </c>
      <c r="B669" s="92" t="s">
        <v>285</v>
      </c>
      <c r="C669" s="91" t="s">
        <v>856</v>
      </c>
      <c r="D669" s="91" t="s">
        <v>247</v>
      </c>
      <c r="E669" s="93">
        <v>38410</v>
      </c>
      <c r="F669" s="94">
        <f t="shared" ca="1" si="27"/>
        <v>11</v>
      </c>
      <c r="G669" s="95"/>
      <c r="H669" s="96">
        <v>43320</v>
      </c>
      <c r="I669" s="97">
        <v>5</v>
      </c>
    </row>
    <row r="670" spans="1:9" ht="13.5" x14ac:dyDescent="0.25">
      <c r="A670" s="91" t="s">
        <v>856</v>
      </c>
      <c r="B670" s="92" t="s">
        <v>285</v>
      </c>
      <c r="C670" s="91" t="s">
        <v>856</v>
      </c>
      <c r="D670" s="91" t="s">
        <v>256</v>
      </c>
      <c r="E670" s="93">
        <v>38435</v>
      </c>
      <c r="F670" s="94">
        <f t="shared" ca="1" si="27"/>
        <v>11</v>
      </c>
      <c r="G670" s="95" t="s">
        <v>283</v>
      </c>
      <c r="H670" s="96">
        <v>29330</v>
      </c>
      <c r="I670" s="97">
        <v>5</v>
      </c>
    </row>
    <row r="671" spans="1:9" ht="13.5" x14ac:dyDescent="0.25">
      <c r="A671" s="91" t="s">
        <v>856</v>
      </c>
      <c r="B671" s="92" t="s">
        <v>245</v>
      </c>
      <c r="C671" s="91" t="s">
        <v>856</v>
      </c>
      <c r="D671" s="91" t="s">
        <v>256</v>
      </c>
      <c r="E671" s="93">
        <v>38505</v>
      </c>
      <c r="F671" s="94">
        <f t="shared" ca="1" si="27"/>
        <v>11</v>
      </c>
      <c r="G671" s="95" t="s">
        <v>283</v>
      </c>
      <c r="H671" s="96">
        <v>72060</v>
      </c>
      <c r="I671" s="97">
        <v>2</v>
      </c>
    </row>
    <row r="672" spans="1:9" ht="13.5" x14ac:dyDescent="0.25">
      <c r="A672" s="91" t="s">
        <v>856</v>
      </c>
      <c r="B672" s="92" t="s">
        <v>280</v>
      </c>
      <c r="C672" s="91" t="s">
        <v>856</v>
      </c>
      <c r="D672" s="91" t="s">
        <v>256</v>
      </c>
      <c r="E672" s="93">
        <v>38768</v>
      </c>
      <c r="F672" s="94">
        <f t="shared" ca="1" si="27"/>
        <v>10</v>
      </c>
      <c r="G672" s="95" t="s">
        <v>283</v>
      </c>
      <c r="H672" s="96">
        <v>23190</v>
      </c>
      <c r="I672" s="97">
        <v>5</v>
      </c>
    </row>
    <row r="673" spans="1:9" ht="13.5" x14ac:dyDescent="0.25">
      <c r="A673" s="91" t="s">
        <v>856</v>
      </c>
      <c r="B673" s="92" t="s">
        <v>271</v>
      </c>
      <c r="C673" s="91" t="s">
        <v>856</v>
      </c>
      <c r="D673" s="91" t="s">
        <v>247</v>
      </c>
      <c r="E673" s="93">
        <v>39040</v>
      </c>
      <c r="F673" s="94">
        <f t="shared" ca="1" si="27"/>
        <v>9</v>
      </c>
      <c r="G673" s="95"/>
      <c r="H673" s="96">
        <v>21580</v>
      </c>
      <c r="I673" s="97">
        <v>3</v>
      </c>
    </row>
    <row r="674" spans="1:9" ht="13.5" x14ac:dyDescent="0.25">
      <c r="A674" s="91" t="s">
        <v>856</v>
      </c>
      <c r="B674" s="92" t="s">
        <v>285</v>
      </c>
      <c r="C674" s="91" t="s">
        <v>856</v>
      </c>
      <c r="D674" s="91" t="s">
        <v>256</v>
      </c>
      <c r="E674" s="93">
        <v>39271</v>
      </c>
      <c r="F674" s="94">
        <f t="shared" ca="1" si="27"/>
        <v>9</v>
      </c>
      <c r="G674" s="95" t="s">
        <v>267</v>
      </c>
      <c r="H674" s="96">
        <v>80260</v>
      </c>
      <c r="I674" s="97">
        <v>3</v>
      </c>
    </row>
    <row r="675" spans="1:9" ht="13.5" x14ac:dyDescent="0.25">
      <c r="A675" s="98"/>
      <c r="B675" s="92"/>
      <c r="C675" s="98"/>
      <c r="D675" s="91"/>
      <c r="E675" s="93"/>
      <c r="F675" s="94"/>
      <c r="G675" s="95"/>
      <c r="H675" s="96"/>
      <c r="I675" s="97"/>
    </row>
    <row r="676" spans="1:9" ht="13.5" x14ac:dyDescent="0.25">
      <c r="A676" s="91" t="s">
        <v>930</v>
      </c>
      <c r="B676" s="92" t="s">
        <v>285</v>
      </c>
      <c r="C676" s="91" t="s">
        <v>930</v>
      </c>
      <c r="D676" s="91" t="s">
        <v>247</v>
      </c>
      <c r="E676" s="93">
        <v>31834</v>
      </c>
      <c r="F676" s="94">
        <f t="shared" ref="F676:F707" ca="1" si="28">DATEDIF(E676,TODAY(),"Y")</f>
        <v>29</v>
      </c>
      <c r="G676" s="95"/>
      <c r="H676" s="96">
        <v>23340</v>
      </c>
      <c r="I676" s="97">
        <v>4</v>
      </c>
    </row>
    <row r="677" spans="1:9" ht="13.5" x14ac:dyDescent="0.25">
      <c r="A677" s="91" t="s">
        <v>930</v>
      </c>
      <c r="B677" s="92" t="s">
        <v>271</v>
      </c>
      <c r="C677" s="91" t="s">
        <v>930</v>
      </c>
      <c r="D677" s="91" t="s">
        <v>247</v>
      </c>
      <c r="E677" s="93">
        <v>31883</v>
      </c>
      <c r="F677" s="94">
        <f t="shared" ca="1" si="28"/>
        <v>29</v>
      </c>
      <c r="G677" s="95"/>
      <c r="H677" s="96">
        <v>63610</v>
      </c>
      <c r="I677" s="97">
        <v>5</v>
      </c>
    </row>
    <row r="678" spans="1:9" ht="13.5" x14ac:dyDescent="0.25">
      <c r="A678" s="91" t="s">
        <v>930</v>
      </c>
      <c r="B678" s="92" t="s">
        <v>271</v>
      </c>
      <c r="C678" s="91" t="s">
        <v>930</v>
      </c>
      <c r="D678" s="91" t="s">
        <v>256</v>
      </c>
      <c r="E678" s="93">
        <v>31969</v>
      </c>
      <c r="F678" s="94">
        <f t="shared" ca="1" si="28"/>
        <v>29</v>
      </c>
      <c r="G678" s="95" t="s">
        <v>257</v>
      </c>
      <c r="H678" s="96">
        <v>24200</v>
      </c>
      <c r="I678" s="97">
        <v>5</v>
      </c>
    </row>
    <row r="679" spans="1:9" ht="13.5" x14ac:dyDescent="0.25">
      <c r="A679" s="91" t="s">
        <v>930</v>
      </c>
      <c r="B679" s="92" t="s">
        <v>285</v>
      </c>
      <c r="C679" s="91" t="s">
        <v>930</v>
      </c>
      <c r="D679" s="91" t="s">
        <v>261</v>
      </c>
      <c r="E679" s="93">
        <v>32081</v>
      </c>
      <c r="F679" s="94">
        <f t="shared" ca="1" si="28"/>
        <v>29</v>
      </c>
      <c r="G679" s="95" t="s">
        <v>283</v>
      </c>
      <c r="H679" s="96">
        <v>13455</v>
      </c>
      <c r="I679" s="97">
        <v>2</v>
      </c>
    </row>
    <row r="680" spans="1:9" ht="13.5" x14ac:dyDescent="0.25">
      <c r="A680" s="91" t="s">
        <v>930</v>
      </c>
      <c r="B680" s="92" t="s">
        <v>245</v>
      </c>
      <c r="C680" s="91" t="s">
        <v>930</v>
      </c>
      <c r="D680" s="91" t="s">
        <v>247</v>
      </c>
      <c r="E680" s="93">
        <v>32091</v>
      </c>
      <c r="F680" s="94">
        <f t="shared" ca="1" si="28"/>
        <v>29</v>
      </c>
      <c r="G680" s="95"/>
      <c r="H680" s="96">
        <v>34680</v>
      </c>
      <c r="I680" s="97">
        <v>5</v>
      </c>
    </row>
    <row r="681" spans="1:9" ht="13.5" x14ac:dyDescent="0.25">
      <c r="A681" s="91" t="s">
        <v>930</v>
      </c>
      <c r="B681" s="92" t="s">
        <v>280</v>
      </c>
      <c r="C681" s="91" t="s">
        <v>930</v>
      </c>
      <c r="D681" s="91" t="s">
        <v>247</v>
      </c>
      <c r="E681" s="93">
        <v>32103</v>
      </c>
      <c r="F681" s="94">
        <f t="shared" ca="1" si="28"/>
        <v>28</v>
      </c>
      <c r="G681" s="95"/>
      <c r="H681" s="96">
        <v>26020</v>
      </c>
      <c r="I681" s="97">
        <v>5</v>
      </c>
    </row>
    <row r="682" spans="1:9" ht="13.5" x14ac:dyDescent="0.25">
      <c r="A682" s="91" t="s">
        <v>930</v>
      </c>
      <c r="B682" s="92" t="s">
        <v>285</v>
      </c>
      <c r="C682" s="91" t="s">
        <v>930</v>
      </c>
      <c r="D682" s="91" t="s">
        <v>247</v>
      </c>
      <c r="E682" s="93">
        <v>32185</v>
      </c>
      <c r="F682" s="94">
        <f t="shared" ca="1" si="28"/>
        <v>28</v>
      </c>
      <c r="G682" s="95"/>
      <c r="H682" s="96">
        <v>62480</v>
      </c>
      <c r="I682" s="97">
        <v>5</v>
      </c>
    </row>
    <row r="683" spans="1:9" ht="13.5" x14ac:dyDescent="0.25">
      <c r="A683" s="91" t="s">
        <v>930</v>
      </c>
      <c r="B683" s="92" t="s">
        <v>271</v>
      </c>
      <c r="C683" s="91" t="s">
        <v>930</v>
      </c>
      <c r="D683" s="91" t="s">
        <v>247</v>
      </c>
      <c r="E683" s="93">
        <v>32196</v>
      </c>
      <c r="F683" s="94">
        <f t="shared" ca="1" si="28"/>
        <v>28</v>
      </c>
      <c r="G683" s="95"/>
      <c r="H683" s="96">
        <v>61134</v>
      </c>
      <c r="I683" s="97">
        <v>4</v>
      </c>
    </row>
    <row r="684" spans="1:9" ht="13.5" x14ac:dyDescent="0.25">
      <c r="A684" s="91" t="s">
        <v>930</v>
      </c>
      <c r="B684" s="92" t="s">
        <v>285</v>
      </c>
      <c r="C684" s="91" t="s">
        <v>930</v>
      </c>
      <c r="D684" s="91" t="s">
        <v>247</v>
      </c>
      <c r="E684" s="93">
        <v>32252</v>
      </c>
      <c r="F684" s="94">
        <f t="shared" ca="1" si="28"/>
        <v>28</v>
      </c>
      <c r="G684" s="95"/>
      <c r="H684" s="96">
        <v>57500</v>
      </c>
      <c r="I684" s="97">
        <v>1</v>
      </c>
    </row>
    <row r="685" spans="1:9" ht="13.5" x14ac:dyDescent="0.25">
      <c r="A685" s="91" t="s">
        <v>930</v>
      </c>
      <c r="B685" s="92" t="s">
        <v>285</v>
      </c>
      <c r="C685" s="91" t="s">
        <v>930</v>
      </c>
      <c r="D685" s="91" t="s">
        <v>256</v>
      </c>
      <c r="E685" s="93">
        <v>32371</v>
      </c>
      <c r="F685" s="94">
        <f t="shared" ca="1" si="28"/>
        <v>28</v>
      </c>
      <c r="G685" s="95" t="s">
        <v>262</v>
      </c>
      <c r="H685" s="96">
        <v>46550</v>
      </c>
      <c r="I685" s="97">
        <v>4</v>
      </c>
    </row>
    <row r="686" spans="1:9" ht="13.5" x14ac:dyDescent="0.25">
      <c r="A686" s="91" t="s">
        <v>930</v>
      </c>
      <c r="B686" s="92" t="s">
        <v>245</v>
      </c>
      <c r="C686" s="91" t="s">
        <v>930</v>
      </c>
      <c r="D686" s="91" t="s">
        <v>247</v>
      </c>
      <c r="E686" s="93">
        <v>32479</v>
      </c>
      <c r="F686" s="94">
        <f t="shared" ca="1" si="28"/>
        <v>27</v>
      </c>
      <c r="G686" s="95"/>
      <c r="H686" s="96">
        <v>59128</v>
      </c>
      <c r="I686" s="97">
        <v>4</v>
      </c>
    </row>
    <row r="687" spans="1:9" ht="13.5" x14ac:dyDescent="0.25">
      <c r="A687" s="91" t="s">
        <v>930</v>
      </c>
      <c r="B687" s="92" t="s">
        <v>271</v>
      </c>
      <c r="C687" s="91" t="s">
        <v>930</v>
      </c>
      <c r="D687" s="91" t="s">
        <v>256</v>
      </c>
      <c r="E687" s="93">
        <v>32496</v>
      </c>
      <c r="F687" s="94">
        <f t="shared" ca="1" si="28"/>
        <v>27</v>
      </c>
      <c r="G687" s="95" t="s">
        <v>262</v>
      </c>
      <c r="H687" s="96">
        <v>62780</v>
      </c>
      <c r="I687" s="97">
        <v>3</v>
      </c>
    </row>
    <row r="688" spans="1:9" ht="13.5" x14ac:dyDescent="0.25">
      <c r="A688" s="91" t="s">
        <v>930</v>
      </c>
      <c r="B688" s="92" t="s">
        <v>245</v>
      </c>
      <c r="C688" s="91" t="s">
        <v>930</v>
      </c>
      <c r="D688" s="91" t="s">
        <v>247</v>
      </c>
      <c r="E688" s="93">
        <v>32510</v>
      </c>
      <c r="F688" s="94">
        <f t="shared" ca="1" si="28"/>
        <v>27</v>
      </c>
      <c r="G688" s="95"/>
      <c r="H688" s="96">
        <v>70300</v>
      </c>
      <c r="I688" s="97">
        <v>3</v>
      </c>
    </row>
    <row r="689" spans="1:9" ht="13.5" x14ac:dyDescent="0.25">
      <c r="A689" s="91" t="s">
        <v>930</v>
      </c>
      <c r="B689" s="92" t="s">
        <v>266</v>
      </c>
      <c r="C689" s="91" t="s">
        <v>930</v>
      </c>
      <c r="D689" s="91" t="s">
        <v>256</v>
      </c>
      <c r="E689" s="93">
        <v>32611</v>
      </c>
      <c r="F689" s="94">
        <f t="shared" ca="1" si="28"/>
        <v>27</v>
      </c>
      <c r="G689" s="95" t="s">
        <v>267</v>
      </c>
      <c r="H689" s="96">
        <v>32160</v>
      </c>
      <c r="I689" s="97">
        <v>3</v>
      </c>
    </row>
    <row r="690" spans="1:9" ht="13.5" x14ac:dyDescent="0.25">
      <c r="A690" s="91" t="s">
        <v>930</v>
      </c>
      <c r="B690" s="92" t="s">
        <v>271</v>
      </c>
      <c r="C690" s="91" t="s">
        <v>930</v>
      </c>
      <c r="D690" s="91" t="s">
        <v>256</v>
      </c>
      <c r="E690" s="93">
        <v>32647</v>
      </c>
      <c r="F690" s="94">
        <f t="shared" ca="1" si="28"/>
        <v>27</v>
      </c>
      <c r="G690" s="95" t="s">
        <v>262</v>
      </c>
      <c r="H690" s="96">
        <v>59490</v>
      </c>
      <c r="I690" s="97">
        <v>3</v>
      </c>
    </row>
    <row r="691" spans="1:9" ht="13.5" x14ac:dyDescent="0.25">
      <c r="A691" s="91" t="s">
        <v>930</v>
      </c>
      <c r="B691" s="92" t="s">
        <v>285</v>
      </c>
      <c r="C691" s="91" t="s">
        <v>930</v>
      </c>
      <c r="D691" s="91" t="s">
        <v>247</v>
      </c>
      <c r="E691" s="93">
        <v>32664</v>
      </c>
      <c r="F691" s="94">
        <f t="shared" ca="1" si="28"/>
        <v>27</v>
      </c>
      <c r="G691" s="95"/>
      <c r="H691" s="96">
        <v>70150</v>
      </c>
      <c r="I691" s="97">
        <v>2</v>
      </c>
    </row>
    <row r="692" spans="1:9" ht="13.5" x14ac:dyDescent="0.25">
      <c r="A692" s="91" t="s">
        <v>930</v>
      </c>
      <c r="B692" s="92" t="s">
        <v>271</v>
      </c>
      <c r="C692" s="91" t="s">
        <v>930</v>
      </c>
      <c r="D692" s="91" t="s">
        <v>247</v>
      </c>
      <c r="E692" s="93">
        <v>32667</v>
      </c>
      <c r="F692" s="94">
        <f t="shared" ca="1" si="28"/>
        <v>27</v>
      </c>
      <c r="G692" s="95"/>
      <c r="H692" s="96">
        <v>63290</v>
      </c>
      <c r="I692" s="97">
        <v>5</v>
      </c>
    </row>
    <row r="693" spans="1:9" ht="13.5" x14ac:dyDescent="0.25">
      <c r="A693" s="91" t="s">
        <v>930</v>
      </c>
      <c r="B693" s="92" t="s">
        <v>280</v>
      </c>
      <c r="C693" s="91" t="s">
        <v>930</v>
      </c>
      <c r="D693" s="91" t="s">
        <v>256</v>
      </c>
      <c r="E693" s="93">
        <v>32668</v>
      </c>
      <c r="F693" s="94">
        <f t="shared" ca="1" si="28"/>
        <v>27</v>
      </c>
      <c r="G693" s="95" t="s">
        <v>283</v>
      </c>
      <c r="H693" s="96">
        <v>46410</v>
      </c>
      <c r="I693" s="97">
        <v>2</v>
      </c>
    </row>
    <row r="694" spans="1:9" ht="13.5" x14ac:dyDescent="0.25">
      <c r="A694" s="91" t="s">
        <v>930</v>
      </c>
      <c r="B694" s="92" t="s">
        <v>285</v>
      </c>
      <c r="C694" s="91" t="s">
        <v>930</v>
      </c>
      <c r="D694" s="91" t="s">
        <v>261</v>
      </c>
      <c r="E694" s="93">
        <v>32695</v>
      </c>
      <c r="F694" s="94">
        <f t="shared" ca="1" si="28"/>
        <v>27</v>
      </c>
      <c r="G694" s="95" t="s">
        <v>257</v>
      </c>
      <c r="H694" s="96">
        <v>19935</v>
      </c>
      <c r="I694" s="97">
        <v>1</v>
      </c>
    </row>
    <row r="695" spans="1:9" ht="13.5" x14ac:dyDescent="0.25">
      <c r="A695" s="91" t="s">
        <v>930</v>
      </c>
      <c r="B695" s="92" t="s">
        <v>271</v>
      </c>
      <c r="C695" s="91" t="s">
        <v>930</v>
      </c>
      <c r="D695" s="91" t="s">
        <v>261</v>
      </c>
      <c r="E695" s="93">
        <v>32732</v>
      </c>
      <c r="F695" s="94">
        <f t="shared" ca="1" si="28"/>
        <v>27</v>
      </c>
      <c r="G695" s="95" t="s">
        <v>267</v>
      </c>
      <c r="H695" s="96">
        <v>27710</v>
      </c>
      <c r="I695" s="97">
        <v>3</v>
      </c>
    </row>
    <row r="696" spans="1:9" ht="13.5" x14ac:dyDescent="0.25">
      <c r="A696" s="91" t="s">
        <v>930</v>
      </c>
      <c r="B696" s="92" t="s">
        <v>285</v>
      </c>
      <c r="C696" s="91" t="s">
        <v>930</v>
      </c>
      <c r="D696" s="91" t="s">
        <v>247</v>
      </c>
      <c r="E696" s="93">
        <v>32816</v>
      </c>
      <c r="F696" s="94">
        <f t="shared" ca="1" si="28"/>
        <v>27</v>
      </c>
      <c r="G696" s="95"/>
      <c r="H696" s="96">
        <v>75550</v>
      </c>
      <c r="I696" s="97">
        <v>3</v>
      </c>
    </row>
    <row r="697" spans="1:9" ht="13.5" x14ac:dyDescent="0.25">
      <c r="A697" s="91" t="s">
        <v>930</v>
      </c>
      <c r="B697" s="92" t="s">
        <v>280</v>
      </c>
      <c r="C697" s="91" t="s">
        <v>930</v>
      </c>
      <c r="D697" s="91" t="s">
        <v>247</v>
      </c>
      <c r="E697" s="93">
        <v>32825</v>
      </c>
      <c r="F697" s="94">
        <f t="shared" ca="1" si="28"/>
        <v>27</v>
      </c>
      <c r="G697" s="95"/>
      <c r="H697" s="96">
        <v>78590</v>
      </c>
      <c r="I697" s="97">
        <v>1</v>
      </c>
    </row>
    <row r="698" spans="1:9" ht="13.5" x14ac:dyDescent="0.25">
      <c r="A698" s="91" t="s">
        <v>930</v>
      </c>
      <c r="B698" s="92" t="s">
        <v>285</v>
      </c>
      <c r="C698" s="91" t="s">
        <v>930</v>
      </c>
      <c r="D698" s="91" t="s">
        <v>261</v>
      </c>
      <c r="E698" s="93">
        <v>32830</v>
      </c>
      <c r="F698" s="94">
        <f t="shared" ca="1" si="28"/>
        <v>26</v>
      </c>
      <c r="G698" s="95" t="s">
        <v>276</v>
      </c>
      <c r="H698" s="96">
        <v>11230</v>
      </c>
      <c r="I698" s="97">
        <v>4</v>
      </c>
    </row>
    <row r="699" spans="1:9" ht="13.5" x14ac:dyDescent="0.25">
      <c r="A699" s="91" t="s">
        <v>930</v>
      </c>
      <c r="B699" s="92" t="s">
        <v>271</v>
      </c>
      <c r="C699" s="91" t="s">
        <v>930</v>
      </c>
      <c r="D699" s="91" t="s">
        <v>261</v>
      </c>
      <c r="E699" s="93">
        <v>32844</v>
      </c>
      <c r="F699" s="94">
        <f t="shared" ca="1" si="28"/>
        <v>26</v>
      </c>
      <c r="G699" s="95" t="s">
        <v>257</v>
      </c>
      <c r="H699" s="96">
        <v>49545</v>
      </c>
      <c r="I699" s="97">
        <v>2</v>
      </c>
    </row>
    <row r="700" spans="1:9" ht="13.5" x14ac:dyDescent="0.25">
      <c r="A700" s="91" t="s">
        <v>930</v>
      </c>
      <c r="B700" s="92" t="s">
        <v>280</v>
      </c>
      <c r="C700" s="91" t="s">
        <v>930</v>
      </c>
      <c r="D700" s="91" t="s">
        <v>247</v>
      </c>
      <c r="E700" s="93">
        <v>32849</v>
      </c>
      <c r="F700" s="94">
        <f t="shared" ca="1" si="28"/>
        <v>26</v>
      </c>
      <c r="G700" s="95"/>
      <c r="H700" s="96">
        <v>35240</v>
      </c>
      <c r="I700" s="97">
        <v>3</v>
      </c>
    </row>
    <row r="701" spans="1:9" ht="13.5" x14ac:dyDescent="0.25">
      <c r="A701" s="91" t="s">
        <v>930</v>
      </c>
      <c r="B701" s="92" t="s">
        <v>285</v>
      </c>
      <c r="C701" s="91" t="s">
        <v>930</v>
      </c>
      <c r="D701" s="91" t="s">
        <v>256</v>
      </c>
      <c r="E701" s="93">
        <v>32976</v>
      </c>
      <c r="F701" s="94">
        <f t="shared" ca="1" si="28"/>
        <v>26</v>
      </c>
      <c r="G701" s="95" t="s">
        <v>283</v>
      </c>
      <c r="H701" s="96">
        <v>87220</v>
      </c>
      <c r="I701" s="97">
        <v>1</v>
      </c>
    </row>
    <row r="702" spans="1:9" ht="13.5" x14ac:dyDescent="0.25">
      <c r="A702" s="91" t="s">
        <v>930</v>
      </c>
      <c r="B702" s="92" t="s">
        <v>271</v>
      </c>
      <c r="C702" s="91" t="s">
        <v>930</v>
      </c>
      <c r="D702" s="91" t="s">
        <v>256</v>
      </c>
      <c r="E702" s="93">
        <v>33115</v>
      </c>
      <c r="F702" s="94">
        <f t="shared" ca="1" si="28"/>
        <v>26</v>
      </c>
      <c r="G702" s="95" t="s">
        <v>283</v>
      </c>
      <c r="H702" s="96">
        <v>73850</v>
      </c>
      <c r="I702" s="97">
        <v>2</v>
      </c>
    </row>
    <row r="703" spans="1:9" ht="13.5" x14ac:dyDescent="0.25">
      <c r="A703" s="91" t="s">
        <v>930</v>
      </c>
      <c r="B703" s="92" t="s">
        <v>285</v>
      </c>
      <c r="C703" s="91" t="s">
        <v>930</v>
      </c>
      <c r="D703" s="91" t="s">
        <v>247</v>
      </c>
      <c r="E703" s="93">
        <v>33224</v>
      </c>
      <c r="F703" s="94">
        <f t="shared" ca="1" si="28"/>
        <v>25</v>
      </c>
      <c r="G703" s="95"/>
      <c r="H703" s="96">
        <v>45105</v>
      </c>
      <c r="I703" s="97">
        <v>1</v>
      </c>
    </row>
    <row r="704" spans="1:9" ht="13.5" x14ac:dyDescent="0.25">
      <c r="A704" s="91" t="s">
        <v>930</v>
      </c>
      <c r="B704" s="92" t="s">
        <v>271</v>
      </c>
      <c r="C704" s="91" t="s">
        <v>930</v>
      </c>
      <c r="D704" s="91" t="s">
        <v>256</v>
      </c>
      <c r="E704" s="93">
        <v>33360</v>
      </c>
      <c r="F704" s="94">
        <f t="shared" ca="1" si="28"/>
        <v>25</v>
      </c>
      <c r="G704" s="95" t="s">
        <v>257</v>
      </c>
      <c r="H704" s="96">
        <v>69510</v>
      </c>
      <c r="I704" s="97">
        <v>5</v>
      </c>
    </row>
    <row r="705" spans="1:9" ht="13.5" x14ac:dyDescent="0.25">
      <c r="A705" s="91" t="s">
        <v>930</v>
      </c>
      <c r="B705" s="92" t="s">
        <v>271</v>
      </c>
      <c r="C705" s="91" t="s">
        <v>930</v>
      </c>
      <c r="D705" s="91" t="s">
        <v>247</v>
      </c>
      <c r="E705" s="93">
        <v>33413</v>
      </c>
      <c r="F705" s="94">
        <f t="shared" ca="1" si="28"/>
        <v>25</v>
      </c>
      <c r="G705" s="95"/>
      <c r="H705" s="96">
        <v>64263</v>
      </c>
      <c r="I705" s="97">
        <v>3</v>
      </c>
    </row>
    <row r="706" spans="1:9" ht="13.5" x14ac:dyDescent="0.25">
      <c r="A706" s="91" t="s">
        <v>930</v>
      </c>
      <c r="B706" s="92" t="s">
        <v>285</v>
      </c>
      <c r="C706" s="91" t="s">
        <v>930</v>
      </c>
      <c r="D706" s="91" t="s">
        <v>252</v>
      </c>
      <c r="E706" s="93">
        <v>33515</v>
      </c>
      <c r="F706" s="94">
        <f t="shared" ca="1" si="28"/>
        <v>25</v>
      </c>
      <c r="G706" s="95"/>
      <c r="H706" s="96">
        <v>26944</v>
      </c>
      <c r="I706" s="97">
        <v>4</v>
      </c>
    </row>
    <row r="707" spans="1:9" ht="13.5" x14ac:dyDescent="0.25">
      <c r="A707" s="91" t="s">
        <v>930</v>
      </c>
      <c r="B707" s="92" t="s">
        <v>245</v>
      </c>
      <c r="C707" s="91" t="s">
        <v>930</v>
      </c>
      <c r="D707" s="91" t="s">
        <v>261</v>
      </c>
      <c r="E707" s="93">
        <v>33650</v>
      </c>
      <c r="F707" s="94">
        <f t="shared" ca="1" si="28"/>
        <v>24</v>
      </c>
      <c r="G707" s="95" t="s">
        <v>276</v>
      </c>
      <c r="H707" s="96">
        <v>23000</v>
      </c>
      <c r="I707" s="97">
        <v>4</v>
      </c>
    </row>
    <row r="708" spans="1:9" ht="13.5" x14ac:dyDescent="0.25">
      <c r="A708" s="91" t="s">
        <v>930</v>
      </c>
      <c r="B708" s="92" t="s">
        <v>285</v>
      </c>
      <c r="C708" s="91" t="s">
        <v>930</v>
      </c>
      <c r="D708" s="91" t="s">
        <v>256</v>
      </c>
      <c r="E708" s="93">
        <v>33742</v>
      </c>
      <c r="F708" s="94">
        <f t="shared" ref="F708:F739" ca="1" si="29">DATEDIF(E708,TODAY(),"Y")</f>
        <v>24</v>
      </c>
      <c r="G708" s="95" t="s">
        <v>267</v>
      </c>
      <c r="H708" s="96">
        <v>64780</v>
      </c>
      <c r="I708" s="97">
        <v>5</v>
      </c>
    </row>
    <row r="709" spans="1:9" ht="13.5" x14ac:dyDescent="0.25">
      <c r="A709" s="91" t="s">
        <v>930</v>
      </c>
      <c r="B709" s="92" t="s">
        <v>285</v>
      </c>
      <c r="C709" s="91" t="s">
        <v>930</v>
      </c>
      <c r="D709" s="91" t="s">
        <v>256</v>
      </c>
      <c r="E709" s="93">
        <v>33742</v>
      </c>
      <c r="F709" s="94">
        <f t="shared" ca="1" si="29"/>
        <v>24</v>
      </c>
      <c r="G709" s="95" t="s">
        <v>267</v>
      </c>
      <c r="H709" s="96">
        <v>64780</v>
      </c>
      <c r="I709" s="97">
        <v>5</v>
      </c>
    </row>
    <row r="710" spans="1:9" ht="13.5" x14ac:dyDescent="0.25">
      <c r="A710" s="91" t="s">
        <v>930</v>
      </c>
      <c r="B710" s="92" t="s">
        <v>285</v>
      </c>
      <c r="C710" s="91" t="s">
        <v>930</v>
      </c>
      <c r="D710" s="91" t="s">
        <v>256</v>
      </c>
      <c r="E710" s="93">
        <v>33827</v>
      </c>
      <c r="F710" s="94">
        <f t="shared" ca="1" si="29"/>
        <v>24</v>
      </c>
      <c r="G710" s="95" t="s">
        <v>283</v>
      </c>
      <c r="H710" s="96">
        <v>33590</v>
      </c>
      <c r="I710" s="97">
        <v>5</v>
      </c>
    </row>
    <row r="711" spans="1:9" ht="13.5" x14ac:dyDescent="0.25">
      <c r="A711" s="91" t="s">
        <v>930</v>
      </c>
      <c r="B711" s="92" t="s">
        <v>285</v>
      </c>
      <c r="C711" s="91" t="s">
        <v>930</v>
      </c>
      <c r="D711" s="91" t="s">
        <v>252</v>
      </c>
      <c r="E711" s="93">
        <v>33937</v>
      </c>
      <c r="F711" s="94">
        <f t="shared" ca="1" si="29"/>
        <v>23</v>
      </c>
      <c r="G711" s="95"/>
      <c r="H711" s="96">
        <v>33752</v>
      </c>
      <c r="I711" s="97">
        <v>3</v>
      </c>
    </row>
    <row r="712" spans="1:9" ht="13.5" x14ac:dyDescent="0.25">
      <c r="A712" s="91" t="s">
        <v>930</v>
      </c>
      <c r="B712" s="92" t="s">
        <v>285</v>
      </c>
      <c r="C712" s="91" t="s">
        <v>930</v>
      </c>
      <c r="D712" s="91" t="s">
        <v>256</v>
      </c>
      <c r="E712" s="93">
        <v>33966</v>
      </c>
      <c r="F712" s="94">
        <f t="shared" ca="1" si="29"/>
        <v>23</v>
      </c>
      <c r="G712" s="95" t="s">
        <v>257</v>
      </c>
      <c r="H712" s="96">
        <v>58370</v>
      </c>
      <c r="I712" s="97">
        <v>5</v>
      </c>
    </row>
    <row r="713" spans="1:9" ht="13.5" x14ac:dyDescent="0.25">
      <c r="A713" s="91" t="s">
        <v>930</v>
      </c>
      <c r="B713" s="92" t="s">
        <v>280</v>
      </c>
      <c r="C713" s="91" t="s">
        <v>930</v>
      </c>
      <c r="D713" s="91" t="s">
        <v>247</v>
      </c>
      <c r="E713" s="93">
        <v>33970</v>
      </c>
      <c r="F713" s="94">
        <f t="shared" ca="1" si="29"/>
        <v>23</v>
      </c>
      <c r="G713" s="95"/>
      <c r="H713" s="96">
        <v>41770</v>
      </c>
      <c r="I713" s="97">
        <v>5</v>
      </c>
    </row>
    <row r="714" spans="1:9" ht="13.5" x14ac:dyDescent="0.25">
      <c r="A714" s="91" t="s">
        <v>930</v>
      </c>
      <c r="B714" s="92" t="s">
        <v>266</v>
      </c>
      <c r="C714" s="91" t="s">
        <v>930</v>
      </c>
      <c r="D714" s="91" t="s">
        <v>261</v>
      </c>
      <c r="E714" s="93">
        <v>33987</v>
      </c>
      <c r="F714" s="94">
        <f t="shared" ca="1" si="29"/>
        <v>23</v>
      </c>
      <c r="G714" s="95" t="s">
        <v>283</v>
      </c>
      <c r="H714" s="96">
        <v>38105</v>
      </c>
      <c r="I714" s="97">
        <v>2</v>
      </c>
    </row>
    <row r="715" spans="1:9" ht="13.5" x14ac:dyDescent="0.25">
      <c r="A715" s="91" t="s">
        <v>930</v>
      </c>
      <c r="B715" s="92" t="s">
        <v>251</v>
      </c>
      <c r="C715" s="91" t="s">
        <v>930</v>
      </c>
      <c r="D715" s="91" t="s">
        <v>256</v>
      </c>
      <c r="E715" s="93">
        <v>33997</v>
      </c>
      <c r="F715" s="94">
        <f t="shared" ca="1" si="29"/>
        <v>23</v>
      </c>
      <c r="G715" s="95" t="s">
        <v>257</v>
      </c>
      <c r="H715" s="96">
        <v>31690</v>
      </c>
      <c r="I715" s="97">
        <v>4</v>
      </c>
    </row>
    <row r="716" spans="1:9" ht="13.5" x14ac:dyDescent="0.25">
      <c r="A716" s="91" t="s">
        <v>930</v>
      </c>
      <c r="B716" s="92" t="s">
        <v>280</v>
      </c>
      <c r="C716" s="91" t="s">
        <v>930</v>
      </c>
      <c r="D716" s="91" t="s">
        <v>247</v>
      </c>
      <c r="E716" s="93">
        <v>34028</v>
      </c>
      <c r="F716" s="94">
        <f t="shared" ca="1" si="29"/>
        <v>23</v>
      </c>
      <c r="G716" s="95"/>
      <c r="H716" s="96">
        <v>87830</v>
      </c>
      <c r="I716" s="97">
        <v>2</v>
      </c>
    </row>
    <row r="717" spans="1:9" ht="13.5" x14ac:dyDescent="0.25">
      <c r="A717" s="91" t="s">
        <v>930</v>
      </c>
      <c r="B717" s="92" t="s">
        <v>271</v>
      </c>
      <c r="C717" s="91" t="s">
        <v>930</v>
      </c>
      <c r="D717" s="91" t="s">
        <v>256</v>
      </c>
      <c r="E717" s="93">
        <v>34054</v>
      </c>
      <c r="F717" s="94">
        <f t="shared" ca="1" si="29"/>
        <v>23</v>
      </c>
      <c r="G717" s="95" t="s">
        <v>257</v>
      </c>
      <c r="H717" s="96">
        <v>27130</v>
      </c>
      <c r="I717" s="97">
        <v>5</v>
      </c>
    </row>
    <row r="718" spans="1:9" ht="13.5" x14ac:dyDescent="0.25">
      <c r="A718" s="91" t="s">
        <v>930</v>
      </c>
      <c r="B718" s="92" t="s">
        <v>285</v>
      </c>
      <c r="C718" s="91" t="s">
        <v>930</v>
      </c>
      <c r="D718" s="91" t="s">
        <v>261</v>
      </c>
      <c r="E718" s="93">
        <v>34156</v>
      </c>
      <c r="F718" s="94">
        <f t="shared" ca="1" si="29"/>
        <v>23</v>
      </c>
      <c r="G718" s="95" t="s">
        <v>262</v>
      </c>
      <c r="H718" s="96">
        <v>37660</v>
      </c>
      <c r="I718" s="97">
        <v>4</v>
      </c>
    </row>
    <row r="719" spans="1:9" ht="13.5" x14ac:dyDescent="0.25">
      <c r="A719" s="91" t="s">
        <v>930</v>
      </c>
      <c r="B719" s="92" t="s">
        <v>245</v>
      </c>
      <c r="C719" s="91" t="s">
        <v>930</v>
      </c>
      <c r="D719" s="91" t="s">
        <v>261</v>
      </c>
      <c r="E719" s="93">
        <v>34208</v>
      </c>
      <c r="F719" s="94">
        <f t="shared" ca="1" si="29"/>
        <v>23</v>
      </c>
      <c r="G719" s="95" t="s">
        <v>262</v>
      </c>
      <c r="H719" s="96">
        <v>13690</v>
      </c>
      <c r="I719" s="97">
        <v>5</v>
      </c>
    </row>
    <row r="720" spans="1:9" ht="13.5" x14ac:dyDescent="0.25">
      <c r="A720" s="91" t="s">
        <v>930</v>
      </c>
      <c r="B720" s="92" t="s">
        <v>285</v>
      </c>
      <c r="C720" s="91" t="s">
        <v>930</v>
      </c>
      <c r="D720" s="91" t="s">
        <v>252</v>
      </c>
      <c r="E720" s="93">
        <v>34266</v>
      </c>
      <c r="F720" s="94">
        <f t="shared" ca="1" si="29"/>
        <v>23</v>
      </c>
      <c r="G720" s="95"/>
      <c r="H720" s="96">
        <v>28768</v>
      </c>
      <c r="I720" s="97">
        <v>3</v>
      </c>
    </row>
    <row r="721" spans="1:9" ht="13.5" x14ac:dyDescent="0.25">
      <c r="A721" s="91" t="s">
        <v>930</v>
      </c>
      <c r="B721" s="92" t="s">
        <v>285</v>
      </c>
      <c r="C721" s="91" t="s">
        <v>930</v>
      </c>
      <c r="D721" s="91" t="s">
        <v>256</v>
      </c>
      <c r="E721" s="93">
        <v>34317</v>
      </c>
      <c r="F721" s="94">
        <f t="shared" ca="1" si="29"/>
        <v>22</v>
      </c>
      <c r="G721" s="95" t="s">
        <v>283</v>
      </c>
      <c r="H721" s="96">
        <v>41380</v>
      </c>
      <c r="I721" s="97">
        <v>2</v>
      </c>
    </row>
    <row r="722" spans="1:9" ht="13.5" x14ac:dyDescent="0.25">
      <c r="A722" s="91" t="s">
        <v>930</v>
      </c>
      <c r="B722" s="92" t="s">
        <v>266</v>
      </c>
      <c r="C722" s="91" t="s">
        <v>930</v>
      </c>
      <c r="D722" s="91" t="s">
        <v>256</v>
      </c>
      <c r="E722" s="93">
        <v>34466</v>
      </c>
      <c r="F722" s="94">
        <f t="shared" ca="1" si="29"/>
        <v>22</v>
      </c>
      <c r="G722" s="95" t="s">
        <v>257</v>
      </c>
      <c r="H722" s="96">
        <v>86320</v>
      </c>
      <c r="I722" s="97">
        <v>4</v>
      </c>
    </row>
    <row r="723" spans="1:9" ht="13.5" x14ac:dyDescent="0.25">
      <c r="A723" s="91" t="s">
        <v>930</v>
      </c>
      <c r="B723" s="92" t="s">
        <v>285</v>
      </c>
      <c r="C723" s="91" t="s">
        <v>930</v>
      </c>
      <c r="D723" s="91" t="s">
        <v>247</v>
      </c>
      <c r="E723" s="93">
        <v>34516</v>
      </c>
      <c r="F723" s="94">
        <f t="shared" ca="1" si="29"/>
        <v>22</v>
      </c>
      <c r="G723" s="95"/>
      <c r="H723" s="96">
        <v>45030</v>
      </c>
      <c r="I723" s="97">
        <v>3</v>
      </c>
    </row>
    <row r="724" spans="1:9" ht="13.5" x14ac:dyDescent="0.25">
      <c r="A724" s="91" t="s">
        <v>930</v>
      </c>
      <c r="B724" s="92" t="s">
        <v>285</v>
      </c>
      <c r="C724" s="91" t="s">
        <v>930</v>
      </c>
      <c r="D724" s="91" t="s">
        <v>256</v>
      </c>
      <c r="E724" s="93">
        <v>34715</v>
      </c>
      <c r="F724" s="94">
        <f t="shared" ca="1" si="29"/>
        <v>21</v>
      </c>
      <c r="G724" s="95" t="s">
        <v>262</v>
      </c>
      <c r="H724" s="96">
        <v>64470</v>
      </c>
      <c r="I724" s="97">
        <v>5</v>
      </c>
    </row>
    <row r="725" spans="1:9" ht="13.5" x14ac:dyDescent="0.25">
      <c r="A725" s="91" t="s">
        <v>930</v>
      </c>
      <c r="B725" s="92" t="s">
        <v>280</v>
      </c>
      <c r="C725" s="91" t="s">
        <v>930</v>
      </c>
      <c r="D725" s="91" t="s">
        <v>261</v>
      </c>
      <c r="E725" s="93">
        <v>34743</v>
      </c>
      <c r="F725" s="94">
        <f t="shared" ca="1" si="29"/>
        <v>21</v>
      </c>
      <c r="G725" s="95" t="s">
        <v>276</v>
      </c>
      <c r="H725" s="96">
        <v>46105</v>
      </c>
      <c r="I725" s="97">
        <v>5</v>
      </c>
    </row>
    <row r="726" spans="1:9" ht="13.5" x14ac:dyDescent="0.25">
      <c r="A726" s="91" t="s">
        <v>930</v>
      </c>
      <c r="B726" s="92" t="s">
        <v>251</v>
      </c>
      <c r="C726" s="91" t="s">
        <v>930</v>
      </c>
      <c r="D726" s="91" t="s">
        <v>256</v>
      </c>
      <c r="E726" s="93">
        <v>34770</v>
      </c>
      <c r="F726" s="94">
        <f t="shared" ca="1" si="29"/>
        <v>21</v>
      </c>
      <c r="G726" s="95" t="s">
        <v>283</v>
      </c>
      <c r="H726" s="96">
        <v>48410</v>
      </c>
      <c r="I726" s="97">
        <v>5</v>
      </c>
    </row>
    <row r="727" spans="1:9" ht="13.5" x14ac:dyDescent="0.25">
      <c r="A727" s="91" t="s">
        <v>930</v>
      </c>
      <c r="B727" s="92" t="s">
        <v>245</v>
      </c>
      <c r="C727" s="91" t="s">
        <v>930</v>
      </c>
      <c r="D727" s="91" t="s">
        <v>247</v>
      </c>
      <c r="E727" s="93">
        <v>34883</v>
      </c>
      <c r="F727" s="94">
        <f t="shared" ca="1" si="29"/>
        <v>21</v>
      </c>
      <c r="G727" s="95"/>
      <c r="H727" s="96">
        <v>58250</v>
      </c>
      <c r="I727" s="97">
        <v>2</v>
      </c>
    </row>
    <row r="728" spans="1:9" ht="13.5" x14ac:dyDescent="0.25">
      <c r="A728" s="91" t="s">
        <v>930</v>
      </c>
      <c r="B728" s="92" t="s">
        <v>280</v>
      </c>
      <c r="C728" s="91" t="s">
        <v>930</v>
      </c>
      <c r="D728" s="91" t="s">
        <v>256</v>
      </c>
      <c r="E728" s="93">
        <v>34933</v>
      </c>
      <c r="F728" s="94">
        <f t="shared" ca="1" si="29"/>
        <v>21</v>
      </c>
      <c r="G728" s="95" t="s">
        <v>276</v>
      </c>
      <c r="H728" s="96">
        <v>77680</v>
      </c>
      <c r="I728" s="97">
        <v>3</v>
      </c>
    </row>
    <row r="729" spans="1:9" ht="13.5" x14ac:dyDescent="0.25">
      <c r="A729" s="91" t="s">
        <v>930</v>
      </c>
      <c r="B729" s="92" t="s">
        <v>271</v>
      </c>
      <c r="C729" s="91" t="s">
        <v>930</v>
      </c>
      <c r="D729" s="91" t="s">
        <v>256</v>
      </c>
      <c r="E729" s="93">
        <v>35020</v>
      </c>
      <c r="F729" s="94">
        <f t="shared" ca="1" si="29"/>
        <v>20</v>
      </c>
      <c r="G729" s="95" t="s">
        <v>276</v>
      </c>
      <c r="H729" s="96">
        <v>61850</v>
      </c>
      <c r="I729" s="97">
        <v>2</v>
      </c>
    </row>
    <row r="730" spans="1:9" ht="13.5" x14ac:dyDescent="0.25">
      <c r="A730" s="91" t="s">
        <v>930</v>
      </c>
      <c r="B730" s="92" t="s">
        <v>251</v>
      </c>
      <c r="C730" s="91" t="s">
        <v>930</v>
      </c>
      <c r="D730" s="91" t="s">
        <v>261</v>
      </c>
      <c r="E730" s="93">
        <v>35055</v>
      </c>
      <c r="F730" s="94">
        <f t="shared" ca="1" si="29"/>
        <v>20</v>
      </c>
      <c r="G730" s="95" t="s">
        <v>267</v>
      </c>
      <c r="H730" s="96">
        <v>19825</v>
      </c>
      <c r="I730" s="97">
        <v>2</v>
      </c>
    </row>
    <row r="731" spans="1:9" ht="13.5" x14ac:dyDescent="0.25">
      <c r="A731" s="91" t="s">
        <v>930</v>
      </c>
      <c r="B731" s="92" t="s">
        <v>266</v>
      </c>
      <c r="C731" s="91" t="s">
        <v>930</v>
      </c>
      <c r="D731" s="91" t="s">
        <v>252</v>
      </c>
      <c r="E731" s="93">
        <v>35148</v>
      </c>
      <c r="F731" s="94">
        <f t="shared" ca="1" si="29"/>
        <v>20</v>
      </c>
      <c r="G731" s="95"/>
      <c r="H731" s="96">
        <v>32536</v>
      </c>
      <c r="I731" s="97">
        <v>2</v>
      </c>
    </row>
    <row r="732" spans="1:9" ht="13.5" x14ac:dyDescent="0.25">
      <c r="A732" s="91" t="s">
        <v>930</v>
      </c>
      <c r="B732" s="92" t="s">
        <v>285</v>
      </c>
      <c r="C732" s="91" t="s">
        <v>930</v>
      </c>
      <c r="D732" s="91" t="s">
        <v>261</v>
      </c>
      <c r="E732" s="93">
        <v>35152</v>
      </c>
      <c r="F732" s="94">
        <f t="shared" ca="1" si="29"/>
        <v>20</v>
      </c>
      <c r="G732" s="95" t="s">
        <v>283</v>
      </c>
      <c r="H732" s="96">
        <v>26185</v>
      </c>
      <c r="I732" s="97">
        <v>5</v>
      </c>
    </row>
    <row r="733" spans="1:9" ht="13.5" x14ac:dyDescent="0.25">
      <c r="A733" s="91" t="s">
        <v>930</v>
      </c>
      <c r="B733" s="92" t="s">
        <v>285</v>
      </c>
      <c r="C733" s="91" t="s">
        <v>930</v>
      </c>
      <c r="D733" s="91" t="s">
        <v>256</v>
      </c>
      <c r="E733" s="93">
        <v>35239</v>
      </c>
      <c r="F733" s="94">
        <f t="shared" ca="1" si="29"/>
        <v>20</v>
      </c>
      <c r="G733" s="95" t="s">
        <v>283</v>
      </c>
      <c r="H733" s="96">
        <v>35460</v>
      </c>
      <c r="I733" s="97">
        <v>1</v>
      </c>
    </row>
    <row r="734" spans="1:9" ht="13.5" x14ac:dyDescent="0.25">
      <c r="A734" s="91" t="s">
        <v>930</v>
      </c>
      <c r="B734" s="92" t="s">
        <v>285</v>
      </c>
      <c r="C734" s="91" t="s">
        <v>930</v>
      </c>
      <c r="D734" s="91" t="s">
        <v>256</v>
      </c>
      <c r="E734" s="93">
        <v>35309</v>
      </c>
      <c r="F734" s="94">
        <f t="shared" ca="1" si="29"/>
        <v>20</v>
      </c>
      <c r="G734" s="95" t="s">
        <v>262</v>
      </c>
      <c r="H734" s="96">
        <v>71970</v>
      </c>
      <c r="I734" s="97">
        <v>4</v>
      </c>
    </row>
    <row r="735" spans="1:9" ht="13.5" x14ac:dyDescent="0.25">
      <c r="A735" s="91" t="s">
        <v>930</v>
      </c>
      <c r="B735" s="92" t="s">
        <v>285</v>
      </c>
      <c r="C735" s="91" t="s">
        <v>930</v>
      </c>
      <c r="D735" s="91" t="s">
        <v>256</v>
      </c>
      <c r="E735" s="93">
        <v>35362</v>
      </c>
      <c r="F735" s="94">
        <f t="shared" ca="1" si="29"/>
        <v>20</v>
      </c>
      <c r="G735" s="95" t="s">
        <v>262</v>
      </c>
      <c r="H735" s="96">
        <v>65320</v>
      </c>
      <c r="I735" s="97">
        <v>5</v>
      </c>
    </row>
    <row r="736" spans="1:9" ht="13.5" x14ac:dyDescent="0.25">
      <c r="A736" s="91" t="s">
        <v>930</v>
      </c>
      <c r="B736" s="92" t="s">
        <v>251</v>
      </c>
      <c r="C736" s="91" t="s">
        <v>930</v>
      </c>
      <c r="D736" s="91" t="s">
        <v>256</v>
      </c>
      <c r="E736" s="93">
        <v>35533</v>
      </c>
      <c r="F736" s="94">
        <f t="shared" ca="1" si="29"/>
        <v>19</v>
      </c>
      <c r="G736" s="95" t="s">
        <v>283</v>
      </c>
      <c r="H736" s="96">
        <v>47630</v>
      </c>
      <c r="I736" s="97">
        <v>3</v>
      </c>
    </row>
    <row r="737" spans="1:9" ht="13.5" x14ac:dyDescent="0.25">
      <c r="A737" s="91" t="s">
        <v>930</v>
      </c>
      <c r="B737" s="92" t="s">
        <v>285</v>
      </c>
      <c r="C737" s="91" t="s">
        <v>930</v>
      </c>
      <c r="D737" s="91" t="s">
        <v>261</v>
      </c>
      <c r="E737" s="93">
        <v>35608</v>
      </c>
      <c r="F737" s="94">
        <f t="shared" ca="1" si="29"/>
        <v>19</v>
      </c>
      <c r="G737" s="95" t="s">
        <v>257</v>
      </c>
      <c r="H737" s="96">
        <v>17205</v>
      </c>
      <c r="I737" s="97">
        <v>5</v>
      </c>
    </row>
    <row r="738" spans="1:9" ht="13.5" x14ac:dyDescent="0.25">
      <c r="A738" s="91" t="s">
        <v>930</v>
      </c>
      <c r="B738" s="92" t="s">
        <v>285</v>
      </c>
      <c r="C738" s="91" t="s">
        <v>930</v>
      </c>
      <c r="D738" s="91" t="s">
        <v>256</v>
      </c>
      <c r="E738" s="93">
        <v>35646</v>
      </c>
      <c r="F738" s="94">
        <f t="shared" ca="1" si="29"/>
        <v>19</v>
      </c>
      <c r="G738" s="95" t="s">
        <v>276</v>
      </c>
      <c r="H738" s="96">
        <v>49930</v>
      </c>
      <c r="I738" s="97">
        <v>1</v>
      </c>
    </row>
    <row r="739" spans="1:9" ht="13.5" x14ac:dyDescent="0.25">
      <c r="A739" s="91" t="s">
        <v>930</v>
      </c>
      <c r="B739" s="92" t="s">
        <v>285</v>
      </c>
      <c r="C739" s="91" t="s">
        <v>930</v>
      </c>
      <c r="D739" s="91" t="s">
        <v>256</v>
      </c>
      <c r="E739" s="93">
        <v>35657</v>
      </c>
      <c r="F739" s="94">
        <f t="shared" ca="1" si="29"/>
        <v>19</v>
      </c>
      <c r="G739" s="95" t="s">
        <v>257</v>
      </c>
      <c r="H739" s="96">
        <v>63060</v>
      </c>
      <c r="I739" s="97">
        <v>4</v>
      </c>
    </row>
    <row r="740" spans="1:9" ht="13.5" x14ac:dyDescent="0.25">
      <c r="A740" s="91" t="s">
        <v>930</v>
      </c>
      <c r="B740" s="92" t="s">
        <v>251</v>
      </c>
      <c r="C740" s="91" t="s">
        <v>930</v>
      </c>
      <c r="D740" s="91" t="s">
        <v>256</v>
      </c>
      <c r="E740" s="93">
        <v>35699</v>
      </c>
      <c r="F740" s="94">
        <f t="shared" ref="F740:F771" ca="1" si="30">DATEDIF(E740,TODAY(),"Y")</f>
        <v>19</v>
      </c>
      <c r="G740" s="95" t="s">
        <v>283</v>
      </c>
      <c r="H740" s="96">
        <v>78710</v>
      </c>
      <c r="I740" s="97">
        <v>2</v>
      </c>
    </row>
    <row r="741" spans="1:9" ht="13.5" x14ac:dyDescent="0.25">
      <c r="A741" s="91" t="s">
        <v>930</v>
      </c>
      <c r="B741" s="92" t="s">
        <v>266</v>
      </c>
      <c r="C741" s="91" t="s">
        <v>930</v>
      </c>
      <c r="D741" s="91" t="s">
        <v>247</v>
      </c>
      <c r="E741" s="93">
        <v>35755</v>
      </c>
      <c r="F741" s="94">
        <f t="shared" ca="1" si="30"/>
        <v>18</v>
      </c>
      <c r="G741" s="95"/>
      <c r="H741" s="96">
        <v>77136</v>
      </c>
      <c r="I741" s="97">
        <v>5</v>
      </c>
    </row>
    <row r="742" spans="1:9" ht="13.5" x14ac:dyDescent="0.25">
      <c r="A742" s="91" t="s">
        <v>930</v>
      </c>
      <c r="B742" s="92" t="s">
        <v>271</v>
      </c>
      <c r="C742" s="91" t="s">
        <v>930</v>
      </c>
      <c r="D742" s="91" t="s">
        <v>247</v>
      </c>
      <c r="E742" s="93">
        <v>35789</v>
      </c>
      <c r="F742" s="94">
        <f t="shared" ca="1" si="30"/>
        <v>18</v>
      </c>
      <c r="G742" s="95"/>
      <c r="H742" s="96">
        <v>28270</v>
      </c>
      <c r="I742" s="97">
        <v>5</v>
      </c>
    </row>
    <row r="743" spans="1:9" ht="13.5" x14ac:dyDescent="0.25">
      <c r="A743" s="91" t="s">
        <v>930</v>
      </c>
      <c r="B743" s="92" t="s">
        <v>266</v>
      </c>
      <c r="C743" s="91" t="s">
        <v>930</v>
      </c>
      <c r="D743" s="91" t="s">
        <v>247</v>
      </c>
      <c r="E743" s="93">
        <v>35831</v>
      </c>
      <c r="F743" s="94">
        <f t="shared" ca="1" si="30"/>
        <v>18</v>
      </c>
      <c r="G743" s="95"/>
      <c r="H743" s="96">
        <v>25530</v>
      </c>
      <c r="I743" s="97">
        <v>3</v>
      </c>
    </row>
    <row r="744" spans="1:9" ht="13.5" x14ac:dyDescent="0.25">
      <c r="A744" s="91" t="s">
        <v>930</v>
      </c>
      <c r="B744" s="92" t="s">
        <v>266</v>
      </c>
      <c r="C744" s="91" t="s">
        <v>930</v>
      </c>
      <c r="D744" s="91" t="s">
        <v>247</v>
      </c>
      <c r="E744" s="93">
        <v>36143</v>
      </c>
      <c r="F744" s="94">
        <f t="shared" ca="1" si="30"/>
        <v>17</v>
      </c>
      <c r="G744" s="95"/>
      <c r="H744" s="96">
        <v>49090</v>
      </c>
      <c r="I744" s="97">
        <v>4</v>
      </c>
    </row>
    <row r="745" spans="1:9" ht="13.5" x14ac:dyDescent="0.25">
      <c r="A745" s="91" t="s">
        <v>930</v>
      </c>
      <c r="B745" s="92" t="s">
        <v>251</v>
      </c>
      <c r="C745" s="91" t="s">
        <v>930</v>
      </c>
      <c r="D745" s="91" t="s">
        <v>256</v>
      </c>
      <c r="E745" s="93">
        <v>36185</v>
      </c>
      <c r="F745" s="94">
        <f t="shared" ca="1" si="30"/>
        <v>17</v>
      </c>
      <c r="G745" s="95" t="s">
        <v>276</v>
      </c>
      <c r="H745" s="96">
        <v>60300</v>
      </c>
      <c r="I745" s="97">
        <v>2</v>
      </c>
    </row>
    <row r="746" spans="1:9" ht="13.5" x14ac:dyDescent="0.25">
      <c r="A746" s="91" t="s">
        <v>930</v>
      </c>
      <c r="B746" s="92" t="s">
        <v>285</v>
      </c>
      <c r="C746" s="91" t="s">
        <v>930</v>
      </c>
      <c r="D746" s="91" t="s">
        <v>256</v>
      </c>
      <c r="E746" s="93">
        <v>36500</v>
      </c>
      <c r="F746" s="94">
        <f t="shared" ca="1" si="30"/>
        <v>16</v>
      </c>
      <c r="G746" s="95" t="s">
        <v>283</v>
      </c>
      <c r="H746" s="96">
        <v>48010</v>
      </c>
      <c r="I746" s="97">
        <v>3</v>
      </c>
    </row>
    <row r="747" spans="1:9" ht="13.5" x14ac:dyDescent="0.25">
      <c r="A747" s="91" t="s">
        <v>930</v>
      </c>
      <c r="B747" s="92" t="s">
        <v>285</v>
      </c>
      <c r="C747" s="91" t="s">
        <v>930</v>
      </c>
      <c r="D747" s="91" t="s">
        <v>256</v>
      </c>
      <c r="E747" s="93">
        <v>37018</v>
      </c>
      <c r="F747" s="94">
        <f t="shared" ca="1" si="30"/>
        <v>15</v>
      </c>
      <c r="G747" s="95" t="s">
        <v>262</v>
      </c>
      <c r="H747" s="96">
        <v>48280</v>
      </c>
      <c r="I747" s="97">
        <v>4</v>
      </c>
    </row>
    <row r="748" spans="1:9" ht="13.5" x14ac:dyDescent="0.25">
      <c r="A748" s="91" t="s">
        <v>930</v>
      </c>
      <c r="B748" s="92" t="s">
        <v>245</v>
      </c>
      <c r="C748" s="91" t="s">
        <v>930</v>
      </c>
      <c r="D748" s="91" t="s">
        <v>256</v>
      </c>
      <c r="E748" s="93">
        <v>37037</v>
      </c>
      <c r="F748" s="94">
        <f t="shared" ca="1" si="30"/>
        <v>15</v>
      </c>
      <c r="G748" s="95" t="s">
        <v>283</v>
      </c>
      <c r="H748" s="96">
        <v>81340</v>
      </c>
      <c r="I748" s="97">
        <v>2</v>
      </c>
    </row>
    <row r="749" spans="1:9" ht="13.5" x14ac:dyDescent="0.25">
      <c r="A749" s="91" t="s">
        <v>930</v>
      </c>
      <c r="B749" s="92" t="s">
        <v>280</v>
      </c>
      <c r="C749" s="91" t="s">
        <v>930</v>
      </c>
      <c r="D749" s="91" t="s">
        <v>247</v>
      </c>
      <c r="E749" s="93">
        <v>37128</v>
      </c>
      <c r="F749" s="94">
        <f t="shared" ca="1" si="30"/>
        <v>15</v>
      </c>
      <c r="G749" s="95"/>
      <c r="H749" s="96">
        <v>32880</v>
      </c>
      <c r="I749" s="97">
        <v>3</v>
      </c>
    </row>
    <row r="750" spans="1:9" ht="13.5" x14ac:dyDescent="0.25">
      <c r="A750" s="91" t="s">
        <v>930</v>
      </c>
      <c r="B750" s="92" t="s">
        <v>251</v>
      </c>
      <c r="C750" s="91" t="s">
        <v>930</v>
      </c>
      <c r="D750" s="91" t="s">
        <v>256</v>
      </c>
      <c r="E750" s="93">
        <v>37316</v>
      </c>
      <c r="F750" s="94">
        <f t="shared" ca="1" si="30"/>
        <v>14</v>
      </c>
      <c r="G750" s="95" t="s">
        <v>257</v>
      </c>
      <c r="H750" s="96">
        <v>44530</v>
      </c>
      <c r="I750" s="97">
        <v>2</v>
      </c>
    </row>
    <row r="751" spans="1:9" ht="13.5" x14ac:dyDescent="0.25">
      <c r="A751" s="91" t="s">
        <v>930</v>
      </c>
      <c r="B751" s="92" t="s">
        <v>245</v>
      </c>
      <c r="C751" s="91" t="s">
        <v>930</v>
      </c>
      <c r="D751" s="91" t="s">
        <v>252</v>
      </c>
      <c r="E751" s="93">
        <v>37336</v>
      </c>
      <c r="F751" s="94">
        <f t="shared" ca="1" si="30"/>
        <v>14</v>
      </c>
      <c r="G751" s="95"/>
      <c r="H751" s="96">
        <v>37344</v>
      </c>
      <c r="I751" s="97">
        <v>2</v>
      </c>
    </row>
    <row r="752" spans="1:9" ht="13.5" x14ac:dyDescent="0.25">
      <c r="A752" s="91" t="s">
        <v>930</v>
      </c>
      <c r="B752" s="92" t="s">
        <v>280</v>
      </c>
      <c r="C752" s="91" t="s">
        <v>930</v>
      </c>
      <c r="D752" s="91" t="s">
        <v>256</v>
      </c>
      <c r="E752" s="93">
        <v>37861</v>
      </c>
      <c r="F752" s="94">
        <f t="shared" ca="1" si="30"/>
        <v>13</v>
      </c>
      <c r="G752" s="95" t="s">
        <v>267</v>
      </c>
      <c r="H752" s="96">
        <v>25690</v>
      </c>
      <c r="I752" s="97">
        <v>2</v>
      </c>
    </row>
    <row r="753" spans="1:9" ht="13.5" x14ac:dyDescent="0.25">
      <c r="A753" s="91" t="s">
        <v>930</v>
      </c>
      <c r="B753" s="92" t="s">
        <v>285</v>
      </c>
      <c r="C753" s="91" t="s">
        <v>930</v>
      </c>
      <c r="D753" s="91" t="s">
        <v>256</v>
      </c>
      <c r="E753" s="93">
        <v>37973</v>
      </c>
      <c r="F753" s="94">
        <f t="shared" ca="1" si="30"/>
        <v>12</v>
      </c>
      <c r="G753" s="95" t="s">
        <v>257</v>
      </c>
      <c r="H753" s="96">
        <v>24980</v>
      </c>
      <c r="I753" s="97">
        <v>3</v>
      </c>
    </row>
    <row r="754" spans="1:9" ht="13.5" x14ac:dyDescent="0.25">
      <c r="A754" s="91" t="s">
        <v>930</v>
      </c>
      <c r="B754" s="92" t="s">
        <v>280</v>
      </c>
      <c r="C754" s="91" t="s">
        <v>930</v>
      </c>
      <c r="D754" s="91" t="s">
        <v>256</v>
      </c>
      <c r="E754" s="93">
        <v>38131</v>
      </c>
      <c r="F754" s="94">
        <f t="shared" ca="1" si="30"/>
        <v>12</v>
      </c>
      <c r="G754" s="95" t="s">
        <v>262</v>
      </c>
      <c r="H754" s="96">
        <v>68860</v>
      </c>
      <c r="I754" s="97">
        <v>2</v>
      </c>
    </row>
    <row r="755" spans="1:9" ht="13.5" x14ac:dyDescent="0.25">
      <c r="A755" s="91" t="s">
        <v>930</v>
      </c>
      <c r="B755" s="92" t="s">
        <v>280</v>
      </c>
      <c r="C755" s="91" t="s">
        <v>930</v>
      </c>
      <c r="D755" s="91" t="s">
        <v>261</v>
      </c>
      <c r="E755" s="93">
        <v>38225</v>
      </c>
      <c r="F755" s="94">
        <f t="shared" ca="1" si="30"/>
        <v>12</v>
      </c>
      <c r="G755" s="95" t="s">
        <v>276</v>
      </c>
      <c r="H755" s="96">
        <v>49080</v>
      </c>
      <c r="I755" s="97">
        <v>5</v>
      </c>
    </row>
    <row r="756" spans="1:9" ht="13.5" x14ac:dyDescent="0.25">
      <c r="A756" s="91" t="s">
        <v>930</v>
      </c>
      <c r="B756" s="92" t="s">
        <v>245</v>
      </c>
      <c r="C756" s="91" t="s">
        <v>930</v>
      </c>
      <c r="D756" s="91" t="s">
        <v>256</v>
      </c>
      <c r="E756" s="93">
        <v>38292</v>
      </c>
      <c r="F756" s="94">
        <f t="shared" ca="1" si="30"/>
        <v>12</v>
      </c>
      <c r="G756" s="95" t="s">
        <v>257</v>
      </c>
      <c r="H756" s="96">
        <v>79380</v>
      </c>
      <c r="I756" s="97">
        <v>5</v>
      </c>
    </row>
    <row r="757" spans="1:9" ht="13.5" x14ac:dyDescent="0.25">
      <c r="A757" s="91" t="s">
        <v>930</v>
      </c>
      <c r="B757" s="92" t="s">
        <v>280</v>
      </c>
      <c r="C757" s="91" t="s">
        <v>930</v>
      </c>
      <c r="D757" s="91" t="s">
        <v>256</v>
      </c>
      <c r="E757" s="93">
        <v>38369</v>
      </c>
      <c r="F757" s="94">
        <f t="shared" ca="1" si="30"/>
        <v>11</v>
      </c>
      <c r="G757" s="95" t="s">
        <v>257</v>
      </c>
      <c r="H757" s="96">
        <v>22820</v>
      </c>
      <c r="I757" s="97">
        <v>5</v>
      </c>
    </row>
    <row r="758" spans="1:9" ht="13.5" x14ac:dyDescent="0.25">
      <c r="A758" s="91" t="s">
        <v>930</v>
      </c>
      <c r="B758" s="92" t="s">
        <v>245</v>
      </c>
      <c r="C758" s="91" t="s">
        <v>930</v>
      </c>
      <c r="D758" s="91" t="s">
        <v>247</v>
      </c>
      <c r="E758" s="93">
        <v>38418</v>
      </c>
      <c r="F758" s="94">
        <f t="shared" ca="1" si="30"/>
        <v>11</v>
      </c>
      <c r="G758" s="95"/>
      <c r="H758" s="96">
        <v>86040</v>
      </c>
      <c r="I758" s="97">
        <v>5</v>
      </c>
    </row>
    <row r="759" spans="1:9" ht="13.5" x14ac:dyDescent="0.25">
      <c r="A759" s="91" t="s">
        <v>930</v>
      </c>
      <c r="B759" s="92" t="s">
        <v>285</v>
      </c>
      <c r="C759" s="91" t="s">
        <v>930</v>
      </c>
      <c r="D759" s="91" t="s">
        <v>256</v>
      </c>
      <c r="E759" s="93">
        <v>38418</v>
      </c>
      <c r="F759" s="94">
        <f t="shared" ca="1" si="30"/>
        <v>11</v>
      </c>
      <c r="G759" s="95" t="s">
        <v>257</v>
      </c>
      <c r="H759" s="96">
        <v>82370</v>
      </c>
      <c r="I759" s="97">
        <v>5</v>
      </c>
    </row>
    <row r="760" spans="1:9" ht="13.5" x14ac:dyDescent="0.25">
      <c r="A760" s="91" t="s">
        <v>930</v>
      </c>
      <c r="B760" s="92" t="s">
        <v>271</v>
      </c>
      <c r="C760" s="91" t="s">
        <v>930</v>
      </c>
      <c r="D760" s="91" t="s">
        <v>256</v>
      </c>
      <c r="E760" s="93">
        <v>38708</v>
      </c>
      <c r="F760" s="94">
        <f t="shared" ca="1" si="30"/>
        <v>10</v>
      </c>
      <c r="G760" s="95" t="s">
        <v>283</v>
      </c>
      <c r="H760" s="96">
        <v>34990</v>
      </c>
      <c r="I760" s="97">
        <v>3</v>
      </c>
    </row>
    <row r="761" spans="1:9" ht="13.5" x14ac:dyDescent="0.25">
      <c r="A761" s="91" t="s">
        <v>930</v>
      </c>
      <c r="B761" s="92" t="s">
        <v>285</v>
      </c>
      <c r="C761" s="91" t="s">
        <v>930</v>
      </c>
      <c r="D761" s="91" t="s">
        <v>247</v>
      </c>
      <c r="E761" s="93">
        <v>38925</v>
      </c>
      <c r="F761" s="94">
        <f t="shared" ca="1" si="30"/>
        <v>10</v>
      </c>
      <c r="G761" s="95"/>
      <c r="H761" s="96">
        <v>80729</v>
      </c>
      <c r="I761" s="97">
        <v>3</v>
      </c>
    </row>
    <row r="762" spans="1:9" ht="13.5" x14ac:dyDescent="0.25">
      <c r="A762" s="91" t="s">
        <v>930</v>
      </c>
      <c r="B762" s="92" t="s">
        <v>266</v>
      </c>
      <c r="C762" s="91" t="s">
        <v>930</v>
      </c>
      <c r="D762" s="91" t="s">
        <v>247</v>
      </c>
      <c r="E762" s="99">
        <v>39024</v>
      </c>
      <c r="F762" s="94">
        <f t="shared" ca="1" si="30"/>
        <v>10</v>
      </c>
      <c r="G762" s="95"/>
      <c r="H762" s="96">
        <v>47280</v>
      </c>
      <c r="I762" s="97">
        <v>1</v>
      </c>
    </row>
    <row r="763" spans="1:9" ht="13.5" x14ac:dyDescent="0.25">
      <c r="A763" s="91" t="s">
        <v>930</v>
      </c>
      <c r="B763" s="92" t="s">
        <v>285</v>
      </c>
      <c r="C763" s="91" t="s">
        <v>930</v>
      </c>
      <c r="D763" s="91" t="s">
        <v>247</v>
      </c>
      <c r="E763" s="93">
        <v>39213</v>
      </c>
      <c r="F763" s="94">
        <f t="shared" ca="1" si="30"/>
        <v>9</v>
      </c>
      <c r="G763" s="95"/>
      <c r="H763" s="96">
        <v>46570</v>
      </c>
      <c r="I763" s="97">
        <v>4</v>
      </c>
    </row>
    <row r="764" spans="1:9" ht="13.5" x14ac:dyDescent="0.25">
      <c r="A764" s="91" t="s">
        <v>930</v>
      </c>
      <c r="B764" s="92" t="s">
        <v>266</v>
      </c>
      <c r="C764" s="91" t="s">
        <v>930</v>
      </c>
      <c r="D764" s="91" t="s">
        <v>256</v>
      </c>
      <c r="E764" s="99">
        <v>39226</v>
      </c>
      <c r="F764" s="94">
        <f t="shared" ca="1" si="30"/>
        <v>9</v>
      </c>
      <c r="G764" s="95" t="s">
        <v>283</v>
      </c>
      <c r="H764" s="96">
        <v>70730</v>
      </c>
      <c r="I764" s="97">
        <v>1</v>
      </c>
    </row>
    <row r="765" spans="1:9" ht="13.5" x14ac:dyDescent="0.25">
      <c r="A765" s="91" t="s">
        <v>930</v>
      </c>
      <c r="B765" s="92" t="s">
        <v>285</v>
      </c>
      <c r="C765" s="91" t="s">
        <v>930</v>
      </c>
      <c r="D765" s="91" t="s">
        <v>247</v>
      </c>
      <c r="E765" s="99">
        <v>39253</v>
      </c>
      <c r="F765" s="94">
        <f t="shared" ca="1" si="30"/>
        <v>9</v>
      </c>
      <c r="G765" s="95"/>
      <c r="H765" s="96">
        <v>55510</v>
      </c>
      <c r="I765" s="97">
        <v>3</v>
      </c>
    </row>
    <row r="766" spans="1:9" ht="13.5" x14ac:dyDescent="0.25">
      <c r="A766" s="91" t="s">
        <v>930</v>
      </c>
      <c r="B766" s="92" t="s">
        <v>285</v>
      </c>
      <c r="C766" s="91" t="s">
        <v>930</v>
      </c>
      <c r="D766" s="91" t="s">
        <v>256</v>
      </c>
      <c r="E766" s="93">
        <v>39258</v>
      </c>
      <c r="F766" s="94">
        <f t="shared" ca="1" si="30"/>
        <v>9</v>
      </c>
      <c r="G766" s="95" t="s">
        <v>257</v>
      </c>
      <c r="H766" s="96">
        <v>46390</v>
      </c>
      <c r="I766" s="97">
        <v>5</v>
      </c>
    </row>
    <row r="767" spans="1:9" ht="13.5" x14ac:dyDescent="0.25">
      <c r="A767" s="91" t="s">
        <v>930</v>
      </c>
      <c r="B767" s="92" t="s">
        <v>271</v>
      </c>
      <c r="C767" s="91" t="s">
        <v>930</v>
      </c>
      <c r="D767" s="91" t="s">
        <v>256</v>
      </c>
      <c r="E767" s="93">
        <v>39327</v>
      </c>
      <c r="F767" s="94">
        <f t="shared" ca="1" si="30"/>
        <v>9</v>
      </c>
      <c r="G767" s="95" t="s">
        <v>257</v>
      </c>
      <c r="H767" s="96">
        <v>86640</v>
      </c>
      <c r="I767" s="97">
        <v>3</v>
      </c>
    </row>
    <row r="768" spans="1:9" ht="13.5" x14ac:dyDescent="0.25">
      <c r="A768" s="91" t="s">
        <v>930</v>
      </c>
      <c r="B768" s="92" t="s">
        <v>251</v>
      </c>
      <c r="C768" s="91" t="s">
        <v>930</v>
      </c>
      <c r="D768" s="91" t="s">
        <v>247</v>
      </c>
      <c r="E768" s="99">
        <v>39328</v>
      </c>
      <c r="F768" s="94">
        <f t="shared" ca="1" si="30"/>
        <v>9</v>
      </c>
      <c r="G768" s="95"/>
      <c r="H768" s="96">
        <v>42990</v>
      </c>
      <c r="I768" s="97">
        <v>4</v>
      </c>
    </row>
    <row r="769" spans="1:9" ht="13.5" x14ac:dyDescent="0.25">
      <c r="A769" s="91" t="s">
        <v>930</v>
      </c>
      <c r="B769" s="92" t="s">
        <v>251</v>
      </c>
      <c r="C769" s="91" t="s">
        <v>930</v>
      </c>
      <c r="D769" s="91" t="s">
        <v>247</v>
      </c>
      <c r="E769" s="99">
        <v>39328</v>
      </c>
      <c r="F769" s="94">
        <f t="shared" ca="1" si="30"/>
        <v>9</v>
      </c>
      <c r="G769" s="95"/>
      <c r="H769" s="96">
        <v>42990</v>
      </c>
      <c r="I769" s="97">
        <v>4</v>
      </c>
    </row>
    <row r="770" spans="1:9" ht="13.5" x14ac:dyDescent="0.25">
      <c r="A770" s="91" t="s">
        <v>930</v>
      </c>
      <c r="B770" s="92" t="s">
        <v>271</v>
      </c>
      <c r="C770" s="91" t="s">
        <v>930</v>
      </c>
      <c r="D770" s="91" t="s">
        <v>256</v>
      </c>
      <c r="E770" s="99">
        <v>39370</v>
      </c>
      <c r="F770" s="94">
        <f t="shared" ca="1" si="30"/>
        <v>9</v>
      </c>
      <c r="G770" s="95" t="s">
        <v>257</v>
      </c>
      <c r="H770" s="96">
        <v>23030</v>
      </c>
      <c r="I770" s="97">
        <v>4</v>
      </c>
    </row>
    <row r="771" spans="1:9" ht="13.5" x14ac:dyDescent="0.25">
      <c r="A771" s="91" t="s">
        <v>930</v>
      </c>
      <c r="B771" s="92" t="s">
        <v>271</v>
      </c>
      <c r="C771" s="91" t="s">
        <v>930</v>
      </c>
      <c r="D771" s="91" t="s">
        <v>256</v>
      </c>
      <c r="E771" s="99">
        <v>39370</v>
      </c>
      <c r="F771" s="94">
        <f t="shared" ca="1" si="30"/>
        <v>9</v>
      </c>
      <c r="G771" s="95" t="s">
        <v>276</v>
      </c>
      <c r="H771" s="96">
        <v>40260</v>
      </c>
      <c r="I771" s="97">
        <v>5</v>
      </c>
    </row>
    <row r="772" spans="1:9" ht="13.5" x14ac:dyDescent="0.25">
      <c r="A772" s="98"/>
      <c r="B772" s="92"/>
      <c r="C772" s="98"/>
      <c r="D772" s="91"/>
      <c r="E772" s="99"/>
      <c r="F772" s="94"/>
      <c r="G772" s="95"/>
      <c r="H772" s="96"/>
      <c r="I772" s="97"/>
    </row>
    <row r="773" spans="1:9" ht="13.5" x14ac:dyDescent="0.25">
      <c r="A773" s="91" t="s">
        <v>1025</v>
      </c>
      <c r="B773" s="92" t="s">
        <v>245</v>
      </c>
      <c r="C773" s="91" t="s">
        <v>1025</v>
      </c>
      <c r="D773" s="91" t="s">
        <v>247</v>
      </c>
      <c r="E773" s="93">
        <v>32077</v>
      </c>
      <c r="F773" s="94">
        <f ca="1">DATEDIF(E773,TODAY(),"Y")</f>
        <v>29</v>
      </c>
      <c r="G773" s="95"/>
      <c r="H773" s="96">
        <v>85510</v>
      </c>
      <c r="I773" s="97">
        <v>4</v>
      </c>
    </row>
    <row r="774" spans="1:9" ht="13.5" x14ac:dyDescent="0.25">
      <c r="A774" s="91" t="s">
        <v>1025</v>
      </c>
      <c r="B774" s="92" t="s">
        <v>271</v>
      </c>
      <c r="C774" s="91" t="s">
        <v>1025</v>
      </c>
      <c r="D774" s="91" t="s">
        <v>256</v>
      </c>
      <c r="E774" s="93">
        <v>35681</v>
      </c>
      <c r="F774" s="94">
        <f ca="1">DATEDIF(E774,TODAY(),"Y")</f>
        <v>19</v>
      </c>
      <c r="G774" s="95" t="s">
        <v>257</v>
      </c>
      <c r="H774" s="96">
        <v>63670</v>
      </c>
      <c r="I774" s="97">
        <v>5</v>
      </c>
    </row>
    <row r="775" spans="1:9" ht="13.5" x14ac:dyDescent="0.25">
      <c r="A775" s="91" t="s">
        <v>1025</v>
      </c>
      <c r="B775" s="92" t="s">
        <v>245</v>
      </c>
      <c r="C775" s="91" t="s">
        <v>1025</v>
      </c>
      <c r="D775" s="91" t="s">
        <v>256</v>
      </c>
      <c r="E775" s="93">
        <v>35763</v>
      </c>
      <c r="F775" s="94">
        <f ca="1">DATEDIF(E775,TODAY(),"Y")</f>
        <v>18</v>
      </c>
      <c r="G775" s="95" t="s">
        <v>276</v>
      </c>
      <c r="H775" s="96">
        <v>40680</v>
      </c>
      <c r="I775" s="97">
        <v>5</v>
      </c>
    </row>
    <row r="776" spans="1:9" ht="13.5" x14ac:dyDescent="0.25">
      <c r="A776" s="91" t="s">
        <v>1025</v>
      </c>
      <c r="B776" s="92" t="s">
        <v>266</v>
      </c>
      <c r="C776" s="91" t="s">
        <v>1025</v>
      </c>
      <c r="D776" s="91" t="s">
        <v>256</v>
      </c>
      <c r="E776" s="93">
        <v>36374</v>
      </c>
      <c r="F776" s="94">
        <f ca="1">DATEDIF(E776,TODAY(),"Y")</f>
        <v>17</v>
      </c>
      <c r="G776" s="95" t="s">
        <v>283</v>
      </c>
      <c r="H776" s="96">
        <v>42800</v>
      </c>
      <c r="I776" s="97">
        <v>5</v>
      </c>
    </row>
    <row r="777" spans="1:9" ht="13.5" x14ac:dyDescent="0.25">
      <c r="A777" s="91" t="s">
        <v>1025</v>
      </c>
      <c r="B777" s="92" t="s">
        <v>271</v>
      </c>
      <c r="C777" s="91" t="s">
        <v>1025</v>
      </c>
      <c r="D777" s="91" t="s">
        <v>247</v>
      </c>
      <c r="E777" s="93">
        <v>39409</v>
      </c>
      <c r="F777" s="94">
        <f ca="1">DATEDIF(E777,TODAY(),"Y")</f>
        <v>8</v>
      </c>
      <c r="G777" s="95"/>
      <c r="H777" s="96">
        <v>66132</v>
      </c>
      <c r="I777" s="97">
        <v>4</v>
      </c>
    </row>
    <row r="778" spans="1:9" ht="13.5" x14ac:dyDescent="0.25">
      <c r="A778" s="98"/>
      <c r="B778" s="92"/>
      <c r="C778" s="98"/>
      <c r="D778" s="91"/>
      <c r="E778" s="93"/>
      <c r="F778" s="94"/>
      <c r="G778" s="95"/>
      <c r="H778" s="96"/>
      <c r="I778" s="97"/>
    </row>
    <row r="779" spans="1:9" ht="13.5" x14ac:dyDescent="0.25">
      <c r="A779" s="91" t="s">
        <v>1031</v>
      </c>
      <c r="B779" s="92" t="s">
        <v>285</v>
      </c>
      <c r="C779" s="91" t="s">
        <v>1031</v>
      </c>
      <c r="D779" s="91" t="s">
        <v>247</v>
      </c>
      <c r="E779" s="93">
        <v>32693</v>
      </c>
      <c r="F779" s="94">
        <f t="shared" ref="F779:F784" ca="1" si="31">DATEDIF(E779,TODAY(),"Y")</f>
        <v>27</v>
      </c>
      <c r="G779" s="95"/>
      <c r="H779" s="96">
        <v>60760</v>
      </c>
      <c r="I779" s="97">
        <v>2</v>
      </c>
    </row>
    <row r="780" spans="1:9" ht="13.5" x14ac:dyDescent="0.25">
      <c r="A780" s="91" t="s">
        <v>1031</v>
      </c>
      <c r="B780" s="92" t="s">
        <v>285</v>
      </c>
      <c r="C780" s="91" t="s">
        <v>1031</v>
      </c>
      <c r="D780" s="91" t="s">
        <v>247</v>
      </c>
      <c r="E780" s="93">
        <v>33215</v>
      </c>
      <c r="F780" s="94">
        <f t="shared" ca="1" si="31"/>
        <v>25</v>
      </c>
      <c r="G780" s="95"/>
      <c r="H780" s="96">
        <v>64720</v>
      </c>
      <c r="I780" s="97">
        <v>5</v>
      </c>
    </row>
    <row r="781" spans="1:9" ht="13.5" x14ac:dyDescent="0.25">
      <c r="A781" s="91" t="s">
        <v>1031</v>
      </c>
      <c r="B781" s="92" t="s">
        <v>285</v>
      </c>
      <c r="C781" s="91" t="s">
        <v>1031</v>
      </c>
      <c r="D781" s="91" t="s">
        <v>247</v>
      </c>
      <c r="E781" s="93">
        <v>33215</v>
      </c>
      <c r="F781" s="94">
        <f t="shared" ca="1" si="31"/>
        <v>25</v>
      </c>
      <c r="G781" s="95"/>
      <c r="H781" s="96">
        <v>64720</v>
      </c>
      <c r="I781" s="97">
        <v>5</v>
      </c>
    </row>
    <row r="782" spans="1:9" ht="13.5" x14ac:dyDescent="0.25">
      <c r="A782" s="91" t="s">
        <v>1031</v>
      </c>
      <c r="B782" s="92" t="s">
        <v>266</v>
      </c>
      <c r="C782" s="91" t="s">
        <v>1031</v>
      </c>
      <c r="D782" s="91" t="s">
        <v>261</v>
      </c>
      <c r="E782" s="93">
        <v>35247</v>
      </c>
      <c r="F782" s="94">
        <f t="shared" ca="1" si="31"/>
        <v>20</v>
      </c>
      <c r="G782" s="95" t="s">
        <v>257</v>
      </c>
      <c r="H782" s="96">
        <v>31250</v>
      </c>
      <c r="I782" s="97">
        <v>2</v>
      </c>
    </row>
    <row r="783" spans="1:9" ht="13.5" x14ac:dyDescent="0.25">
      <c r="A783" s="91" t="s">
        <v>1031</v>
      </c>
      <c r="B783" s="92" t="s">
        <v>251</v>
      </c>
      <c r="C783" s="91" t="s">
        <v>1031</v>
      </c>
      <c r="D783" s="91" t="s">
        <v>256</v>
      </c>
      <c r="E783" s="93">
        <v>39074</v>
      </c>
      <c r="F783" s="94">
        <f t="shared" ca="1" si="31"/>
        <v>9</v>
      </c>
      <c r="G783" s="95" t="s">
        <v>257</v>
      </c>
      <c r="H783" s="96">
        <v>46680</v>
      </c>
      <c r="I783" s="97">
        <v>1</v>
      </c>
    </row>
    <row r="784" spans="1:9" ht="13.5" x14ac:dyDescent="0.25">
      <c r="A784" s="91" t="s">
        <v>1031</v>
      </c>
      <c r="B784" s="92" t="s">
        <v>266</v>
      </c>
      <c r="C784" s="91" t="s">
        <v>1031</v>
      </c>
      <c r="D784" s="91" t="s">
        <v>252</v>
      </c>
      <c r="E784" s="93">
        <v>39233</v>
      </c>
      <c r="F784" s="94">
        <f t="shared" ca="1" si="31"/>
        <v>9</v>
      </c>
      <c r="G784" s="95"/>
      <c r="H784" s="96">
        <v>19044</v>
      </c>
      <c r="I784" s="97">
        <v>1</v>
      </c>
    </row>
    <row r="785" spans="1:9" ht="13.5" x14ac:dyDescent="0.25">
      <c r="A785" s="98"/>
      <c r="B785" s="92"/>
      <c r="C785" s="98"/>
      <c r="D785" s="91"/>
      <c r="E785" s="93"/>
      <c r="F785" s="94"/>
      <c r="G785" s="95"/>
      <c r="H785" s="96"/>
      <c r="I785" s="9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AF744"/>
  <sheetViews>
    <sheetView tabSelected="1" zoomScale="115" zoomScaleNormal="115" zoomScaleSheetLayoutView="100" workbookViewId="0">
      <selection activeCell="A3" sqref="A2:N744"/>
    </sheetView>
  </sheetViews>
  <sheetFormatPr defaultColWidth="19.85546875" defaultRowHeight="15" x14ac:dyDescent="0.25"/>
  <cols>
    <col min="1" max="1" width="19.28515625" style="39" bestFit="1" customWidth="1"/>
    <col min="2" max="2" width="9.85546875" style="54" customWidth="1"/>
    <col min="3" max="3" width="26.85546875" style="39" bestFit="1" customWidth="1"/>
    <col min="4" max="4" width="12.42578125" style="79" bestFit="1" customWidth="1"/>
    <col min="5" max="5" width="9.7109375" style="39" bestFit="1" customWidth="1"/>
    <col min="6" max="6" width="11.140625" style="81" customWidth="1"/>
    <col min="7" max="7" width="10.7109375" style="81" customWidth="1"/>
    <col min="8" max="8" width="7.5703125" style="83" customWidth="1"/>
    <col min="9" max="9" width="10" style="39" customWidth="1"/>
    <col min="10" max="10" width="9.42578125" style="70" customWidth="1"/>
    <col min="11" max="11" width="11.85546875" style="39" customWidth="1"/>
    <col min="12" max="12" width="13.5703125" style="84" customWidth="1"/>
    <col min="13" max="13" width="10.28515625" style="56" customWidth="1"/>
    <col min="14" max="14" width="8.140625" style="39" customWidth="1"/>
    <col min="15" max="15" width="7.28515625" style="39" customWidth="1"/>
    <col min="16" max="16" width="9.85546875" style="39" customWidth="1"/>
    <col min="17" max="17" width="8.85546875" style="39" bestFit="1" customWidth="1"/>
    <col min="18" max="18" width="4.5703125" style="39" bestFit="1" customWidth="1"/>
    <col min="19" max="19" width="9.28515625" style="39" customWidth="1"/>
    <col min="20" max="20" width="5.5703125" style="39" bestFit="1" customWidth="1"/>
    <col min="21" max="25" width="4.42578125" style="39" bestFit="1" customWidth="1"/>
    <col min="26" max="26" width="5.42578125" style="39" customWidth="1"/>
    <col min="27" max="27" width="6" style="39" bestFit="1" customWidth="1"/>
    <col min="28" max="32" width="4.42578125" style="39" bestFit="1" customWidth="1"/>
    <col min="33" max="33" width="4.140625" style="39" bestFit="1" customWidth="1"/>
    <col min="34" max="16384" width="19.85546875" style="39"/>
  </cols>
  <sheetData>
    <row r="1" spans="1:32" x14ac:dyDescent="0.25">
      <c r="A1" s="26" t="s">
        <v>229</v>
      </c>
      <c r="B1" s="27" t="s">
        <v>230</v>
      </c>
      <c r="C1" s="28" t="s">
        <v>231</v>
      </c>
      <c r="D1" s="144" t="s">
        <v>232</v>
      </c>
      <c r="E1" s="28" t="s">
        <v>234</v>
      </c>
      <c r="F1" s="31" t="s">
        <v>235</v>
      </c>
      <c r="G1" s="31" t="s">
        <v>236</v>
      </c>
      <c r="H1" s="33" t="s">
        <v>237</v>
      </c>
      <c r="I1" s="28" t="s">
        <v>238</v>
      </c>
      <c r="J1" s="34" t="s">
        <v>239</v>
      </c>
      <c r="K1" s="27" t="s">
        <v>240</v>
      </c>
      <c r="L1" s="35" t="s">
        <v>241</v>
      </c>
      <c r="M1" s="36" t="s">
        <v>242</v>
      </c>
      <c r="N1" s="37" t="s">
        <v>1608</v>
      </c>
      <c r="O1" s="37"/>
      <c r="P1" s="37"/>
      <c r="Q1" s="38" t="s">
        <v>243</v>
      </c>
      <c r="R1" s="38"/>
      <c r="T1" s="40"/>
      <c r="U1" s="41" t="s">
        <v>73</v>
      </c>
      <c r="V1" s="41" t="s">
        <v>107</v>
      </c>
      <c r="W1" s="41" t="s">
        <v>100</v>
      </c>
      <c r="X1" s="41" t="s">
        <v>65</v>
      </c>
      <c r="Y1" s="41" t="s">
        <v>83</v>
      </c>
      <c r="Z1" s="42"/>
      <c r="AA1" s="43"/>
      <c r="AB1" s="44" t="s">
        <v>73</v>
      </c>
      <c r="AC1" s="44" t="s">
        <v>107</v>
      </c>
      <c r="AD1" s="44" t="s">
        <v>100</v>
      </c>
      <c r="AE1" s="44" t="s">
        <v>65</v>
      </c>
      <c r="AF1" s="44" t="s">
        <v>83</v>
      </c>
    </row>
    <row r="2" spans="1:32" hidden="1" x14ac:dyDescent="0.25">
      <c r="A2" s="45" t="s">
        <v>255</v>
      </c>
      <c r="B2" s="46" t="s">
        <v>245</v>
      </c>
      <c r="C2" s="45" t="s">
        <v>246</v>
      </c>
      <c r="D2" s="142">
        <v>908683147</v>
      </c>
      <c r="E2" s="45" t="s">
        <v>256</v>
      </c>
      <c r="F2" s="105">
        <v>36171</v>
      </c>
      <c r="G2" s="105" t="str">
        <f t="shared" ref="G2:G65" si="0">CHOOSE(MONTH(F2),"Jan","Feb","Mar","Apr","May","Jun","Jul","Aug","Sep","Oct","Nov","Dec")</f>
        <v>Jan</v>
      </c>
      <c r="H2" s="51">
        <f t="shared" ref="H2:H65" ca="1" si="1">DATEDIF(F2,TODAY(),"Y")</f>
        <v>17</v>
      </c>
      <c r="I2" s="52" t="s">
        <v>257</v>
      </c>
      <c r="J2" s="53">
        <v>24550</v>
      </c>
      <c r="K2" s="54">
        <v>1</v>
      </c>
      <c r="L2" s="143"/>
      <c r="M2" s="63"/>
      <c r="N2" s="56"/>
      <c r="Q2" s="57">
        <v>0</v>
      </c>
      <c r="R2" s="58">
        <v>0</v>
      </c>
      <c r="T2" s="40" t="s">
        <v>248</v>
      </c>
      <c r="U2" s="59">
        <v>33</v>
      </c>
      <c r="V2" s="59">
        <v>40</v>
      </c>
      <c r="W2" s="59">
        <v>37</v>
      </c>
      <c r="X2" s="59">
        <v>48</v>
      </c>
      <c r="Y2" s="59">
        <v>48</v>
      </c>
      <c r="Z2" s="59"/>
      <c r="AA2" s="60" t="s">
        <v>249</v>
      </c>
      <c r="AB2" s="59">
        <v>45</v>
      </c>
      <c r="AC2" s="59">
        <v>47</v>
      </c>
      <c r="AD2" s="59">
        <v>35</v>
      </c>
      <c r="AE2" s="59">
        <v>49</v>
      </c>
      <c r="AF2" s="59">
        <v>37</v>
      </c>
    </row>
    <row r="3" spans="1:32" hidden="1" x14ac:dyDescent="0.25">
      <c r="A3" s="45" t="s">
        <v>260</v>
      </c>
      <c r="B3" s="46" t="s">
        <v>245</v>
      </c>
      <c r="C3" s="45" t="s">
        <v>246</v>
      </c>
      <c r="D3" s="142">
        <v>950455747</v>
      </c>
      <c r="E3" s="45" t="s">
        <v>261</v>
      </c>
      <c r="F3" s="105">
        <v>33290</v>
      </c>
      <c r="G3" s="105" t="str">
        <f t="shared" si="0"/>
        <v>Feb</v>
      </c>
      <c r="H3" s="51">
        <f t="shared" ca="1" si="1"/>
        <v>25</v>
      </c>
      <c r="I3" s="52" t="s">
        <v>262</v>
      </c>
      <c r="J3" s="53">
        <v>26795</v>
      </c>
      <c r="K3" s="54">
        <v>4</v>
      </c>
      <c r="M3" s="63"/>
      <c r="N3" s="56"/>
      <c r="Q3" s="61">
        <v>5000</v>
      </c>
      <c r="R3" s="62">
        <v>0.01</v>
      </c>
      <c r="T3" s="40" t="s">
        <v>253</v>
      </c>
      <c r="U3" s="59">
        <v>35</v>
      </c>
      <c r="V3" s="59">
        <v>38</v>
      </c>
      <c r="W3" s="59">
        <v>36</v>
      </c>
      <c r="X3" s="59">
        <v>48</v>
      </c>
      <c r="Y3" s="59">
        <v>41</v>
      </c>
      <c r="Z3" s="59"/>
      <c r="AA3" s="60" t="s">
        <v>254</v>
      </c>
      <c r="AB3" s="59">
        <v>39</v>
      </c>
      <c r="AC3" s="59">
        <v>35</v>
      </c>
      <c r="AD3" s="59">
        <v>45</v>
      </c>
      <c r="AE3" s="59">
        <v>34</v>
      </c>
      <c r="AF3" s="59">
        <v>37</v>
      </c>
    </row>
    <row r="4" spans="1:32" hidden="1" x14ac:dyDescent="0.25">
      <c r="A4" s="45" t="s">
        <v>244</v>
      </c>
      <c r="B4" s="46" t="s">
        <v>245</v>
      </c>
      <c r="C4" s="45" t="s">
        <v>246</v>
      </c>
      <c r="D4" s="142">
        <v>775555190</v>
      </c>
      <c r="E4" s="45" t="s">
        <v>247</v>
      </c>
      <c r="F4" s="105">
        <v>39147</v>
      </c>
      <c r="G4" s="105" t="str">
        <f t="shared" si="0"/>
        <v>Mar</v>
      </c>
      <c r="H4" s="51">
        <f t="shared" ca="1" si="1"/>
        <v>9</v>
      </c>
      <c r="I4" s="52"/>
      <c r="J4" s="53">
        <v>42540</v>
      </c>
      <c r="K4" s="54">
        <v>5</v>
      </c>
      <c r="Q4" s="61">
        <v>25000</v>
      </c>
      <c r="R4" s="62">
        <v>0.05</v>
      </c>
      <c r="T4" s="40" t="s">
        <v>258</v>
      </c>
      <c r="U4" s="59">
        <v>49</v>
      </c>
      <c r="V4" s="59">
        <v>36</v>
      </c>
      <c r="W4" s="59">
        <v>40</v>
      </c>
      <c r="X4" s="59">
        <v>35</v>
      </c>
      <c r="Y4" s="59">
        <v>44</v>
      </c>
      <c r="Z4" s="59"/>
      <c r="AA4" s="60" t="s">
        <v>259</v>
      </c>
      <c r="AB4" s="59">
        <v>30</v>
      </c>
      <c r="AC4" s="59">
        <v>45</v>
      </c>
      <c r="AD4" s="59">
        <v>43</v>
      </c>
      <c r="AE4" s="59">
        <v>46</v>
      </c>
      <c r="AF4" s="59">
        <v>30</v>
      </c>
    </row>
    <row r="5" spans="1:32" hidden="1" x14ac:dyDescent="0.25">
      <c r="A5" s="45" t="s">
        <v>250</v>
      </c>
      <c r="B5" s="46" t="s">
        <v>251</v>
      </c>
      <c r="C5" s="45" t="s">
        <v>246</v>
      </c>
      <c r="D5" s="142">
        <v>330102344</v>
      </c>
      <c r="E5" s="45" t="s">
        <v>252</v>
      </c>
      <c r="F5" s="105">
        <v>33846</v>
      </c>
      <c r="G5" s="105" t="str">
        <f t="shared" si="0"/>
        <v>Aug</v>
      </c>
      <c r="H5" s="51">
        <f t="shared" ca="1" si="1"/>
        <v>24</v>
      </c>
      <c r="I5" s="52"/>
      <c r="J5" s="53">
        <v>35680</v>
      </c>
      <c r="K5" s="54">
        <v>2</v>
      </c>
      <c r="L5" s="143"/>
      <c r="N5" s="56"/>
      <c r="Q5" s="61">
        <v>35000</v>
      </c>
      <c r="R5" s="62">
        <v>0.06</v>
      </c>
      <c r="T5" s="40" t="s">
        <v>263</v>
      </c>
      <c r="U5" s="59">
        <v>35</v>
      </c>
      <c r="V5" s="59">
        <v>46</v>
      </c>
      <c r="W5" s="59">
        <v>44</v>
      </c>
      <c r="X5" s="59">
        <v>48</v>
      </c>
      <c r="Y5" s="59">
        <v>47</v>
      </c>
      <c r="Z5" s="59"/>
      <c r="AA5" s="60" t="s">
        <v>264</v>
      </c>
      <c r="AB5" s="59">
        <v>46</v>
      </c>
      <c r="AC5" s="59">
        <v>40</v>
      </c>
      <c r="AD5" s="59">
        <v>45</v>
      </c>
      <c r="AE5" s="59">
        <v>45</v>
      </c>
      <c r="AF5" s="59">
        <v>37</v>
      </c>
    </row>
    <row r="6" spans="1:32" hidden="1" x14ac:dyDescent="0.25">
      <c r="A6" s="45" t="s">
        <v>265</v>
      </c>
      <c r="B6" s="46" t="s">
        <v>266</v>
      </c>
      <c r="C6" s="45" t="s">
        <v>246</v>
      </c>
      <c r="D6" s="142">
        <v>982839221</v>
      </c>
      <c r="E6" s="45" t="s">
        <v>256</v>
      </c>
      <c r="F6" s="105">
        <v>39447</v>
      </c>
      <c r="G6" s="105" t="str">
        <f t="shared" si="0"/>
        <v>Dec</v>
      </c>
      <c r="H6" s="51">
        <f t="shared" ca="1" si="1"/>
        <v>8</v>
      </c>
      <c r="I6" s="52" t="s">
        <v>267</v>
      </c>
      <c r="J6" s="53">
        <v>72830</v>
      </c>
      <c r="K6" s="54">
        <v>2</v>
      </c>
      <c r="N6" s="56"/>
      <c r="Q6" s="61">
        <v>45000</v>
      </c>
      <c r="R6" s="62">
        <v>7.0000000000000007E-2</v>
      </c>
      <c r="T6" s="40" t="s">
        <v>268</v>
      </c>
      <c r="U6" s="59">
        <v>31</v>
      </c>
      <c r="V6" s="59">
        <v>49</v>
      </c>
      <c r="W6" s="59">
        <v>43</v>
      </c>
      <c r="X6" s="59">
        <v>42</v>
      </c>
      <c r="Y6" s="59">
        <v>34</v>
      </c>
      <c r="Z6" s="59"/>
      <c r="AA6" s="60" t="s">
        <v>269</v>
      </c>
      <c r="AB6" s="59">
        <v>38</v>
      </c>
      <c r="AC6" s="59">
        <v>39</v>
      </c>
      <c r="AD6" s="59">
        <v>42</v>
      </c>
      <c r="AE6" s="59">
        <v>40</v>
      </c>
      <c r="AF6" s="59">
        <v>43</v>
      </c>
    </row>
    <row r="7" spans="1:32" hidden="1" x14ac:dyDescent="0.25">
      <c r="A7" s="39" t="s">
        <v>284</v>
      </c>
      <c r="B7" s="46" t="s">
        <v>285</v>
      </c>
      <c r="C7" s="39" t="s">
        <v>272</v>
      </c>
      <c r="D7" s="142">
        <v>125553986</v>
      </c>
      <c r="E7" s="39" t="s">
        <v>256</v>
      </c>
      <c r="F7" s="81">
        <v>35464</v>
      </c>
      <c r="G7" s="105" t="str">
        <f t="shared" si="0"/>
        <v>Feb</v>
      </c>
      <c r="H7" s="51">
        <f t="shared" ca="1" si="1"/>
        <v>19</v>
      </c>
      <c r="I7" s="52" t="s">
        <v>257</v>
      </c>
      <c r="J7" s="53">
        <v>60830</v>
      </c>
      <c r="K7" s="54">
        <v>2</v>
      </c>
      <c r="N7" s="56"/>
      <c r="Q7" s="61">
        <v>55000</v>
      </c>
      <c r="R7" s="62">
        <v>0.08</v>
      </c>
      <c r="T7" s="40" t="s">
        <v>273</v>
      </c>
      <c r="U7" s="59">
        <v>43</v>
      </c>
      <c r="V7" s="59">
        <v>38</v>
      </c>
      <c r="W7" s="59">
        <v>44</v>
      </c>
      <c r="X7" s="59">
        <v>44</v>
      </c>
      <c r="Y7" s="59">
        <v>39</v>
      </c>
      <c r="Z7" s="59"/>
      <c r="AA7" s="60" t="s">
        <v>274</v>
      </c>
      <c r="AB7" s="59">
        <v>30</v>
      </c>
      <c r="AC7" s="59">
        <v>47</v>
      </c>
      <c r="AD7" s="59">
        <v>46</v>
      </c>
      <c r="AE7" s="59">
        <v>42</v>
      </c>
      <c r="AF7" s="59">
        <v>34</v>
      </c>
    </row>
    <row r="8" spans="1:32" hidden="1" x14ac:dyDescent="0.25">
      <c r="A8" s="45" t="s">
        <v>281</v>
      </c>
      <c r="B8" s="46" t="s">
        <v>251</v>
      </c>
      <c r="C8" s="45" t="s">
        <v>272</v>
      </c>
      <c r="D8" s="142">
        <v>773563445</v>
      </c>
      <c r="E8" s="45" t="s">
        <v>261</v>
      </c>
      <c r="F8" s="105">
        <v>36217</v>
      </c>
      <c r="G8" s="105" t="str">
        <f t="shared" si="0"/>
        <v>Feb</v>
      </c>
      <c r="H8" s="51">
        <f t="shared" ca="1" si="1"/>
        <v>17</v>
      </c>
      <c r="I8" s="52" t="s">
        <v>257</v>
      </c>
      <c r="J8" s="53">
        <v>15240</v>
      </c>
      <c r="K8" s="54">
        <v>1</v>
      </c>
      <c r="N8" s="56"/>
      <c r="Q8" s="61">
        <v>65000</v>
      </c>
      <c r="R8" s="62">
        <v>0.1</v>
      </c>
    </row>
    <row r="9" spans="1:32" x14ac:dyDescent="0.25">
      <c r="A9" s="39" t="s">
        <v>287</v>
      </c>
      <c r="B9" s="46" t="s">
        <v>271</v>
      </c>
      <c r="C9" s="39" t="s">
        <v>272</v>
      </c>
      <c r="D9" s="142">
        <v>443960950</v>
      </c>
      <c r="E9" s="39" t="s">
        <v>247</v>
      </c>
      <c r="F9" s="81">
        <v>34076</v>
      </c>
      <c r="G9" s="105" t="str">
        <f t="shared" si="0"/>
        <v>Apr</v>
      </c>
      <c r="H9" s="51">
        <f t="shared" ca="1" si="1"/>
        <v>23</v>
      </c>
      <c r="I9" s="52"/>
      <c r="J9" s="53">
        <v>66580</v>
      </c>
      <c r="K9" s="54">
        <v>5</v>
      </c>
      <c r="M9" s="63"/>
      <c r="N9" s="56"/>
      <c r="Q9" s="61">
        <v>75000</v>
      </c>
      <c r="R9" s="62">
        <v>0.11</v>
      </c>
      <c r="T9" s="64"/>
      <c r="U9" s="65"/>
      <c r="V9" s="65"/>
      <c r="W9" s="65"/>
      <c r="X9" s="65"/>
      <c r="Y9" s="65"/>
      <c r="AA9" s="66"/>
      <c r="AB9" s="67"/>
      <c r="AC9" s="67"/>
      <c r="AD9" s="67"/>
      <c r="AE9" s="67"/>
    </row>
    <row r="10" spans="1:32" hidden="1" x14ac:dyDescent="0.25">
      <c r="A10" s="39" t="s">
        <v>292</v>
      </c>
      <c r="B10" s="46" t="s">
        <v>285</v>
      </c>
      <c r="C10" s="39" t="s">
        <v>272</v>
      </c>
      <c r="D10" s="142">
        <v>614756893</v>
      </c>
      <c r="E10" s="39" t="s">
        <v>256</v>
      </c>
      <c r="F10" s="81">
        <v>36260</v>
      </c>
      <c r="G10" s="105" t="str">
        <f t="shared" si="0"/>
        <v>Apr</v>
      </c>
      <c r="H10" s="51">
        <f t="shared" ca="1" si="1"/>
        <v>17</v>
      </c>
      <c r="I10" s="52" t="s">
        <v>257</v>
      </c>
      <c r="J10" s="53">
        <v>75150</v>
      </c>
      <c r="K10" s="54">
        <v>1</v>
      </c>
      <c r="Q10" s="61">
        <v>85000</v>
      </c>
      <c r="R10" s="62">
        <v>0.12</v>
      </c>
      <c r="T10" s="64"/>
      <c r="U10" s="68"/>
      <c r="V10" s="68"/>
      <c r="W10" s="68"/>
      <c r="X10" s="68"/>
      <c r="Y10" s="68"/>
      <c r="Z10" s="69"/>
      <c r="AA10" s="70"/>
      <c r="AB10" s="52"/>
      <c r="AC10" s="52"/>
      <c r="AD10" s="52"/>
      <c r="AE10" s="52"/>
    </row>
    <row r="11" spans="1:32" hidden="1" x14ac:dyDescent="0.25">
      <c r="A11" s="39" t="s">
        <v>289</v>
      </c>
      <c r="B11" s="46" t="s">
        <v>251</v>
      </c>
      <c r="C11" s="39" t="s">
        <v>272</v>
      </c>
      <c r="D11" s="142">
        <v>524603364</v>
      </c>
      <c r="E11" s="39" t="s">
        <v>256</v>
      </c>
      <c r="F11" s="81">
        <v>37404</v>
      </c>
      <c r="G11" s="105" t="str">
        <f t="shared" si="0"/>
        <v>May</v>
      </c>
      <c r="H11" s="51">
        <f t="shared" ca="1" si="1"/>
        <v>14</v>
      </c>
      <c r="I11" s="52" t="s">
        <v>257</v>
      </c>
      <c r="J11" s="53">
        <v>30780</v>
      </c>
      <c r="K11" s="54">
        <v>4</v>
      </c>
      <c r="Q11" s="61">
        <v>95000</v>
      </c>
      <c r="R11" s="62">
        <v>0.13</v>
      </c>
      <c r="T11" s="64"/>
      <c r="U11" s="68"/>
      <c r="V11" s="68"/>
      <c r="W11" s="68"/>
      <c r="X11" s="68"/>
      <c r="Y11" s="68"/>
      <c r="Z11" s="52"/>
      <c r="AA11" s="70"/>
      <c r="AB11" s="52"/>
      <c r="AC11" s="52"/>
      <c r="AD11" s="52"/>
      <c r="AE11" s="52"/>
    </row>
    <row r="12" spans="1:32" x14ac:dyDescent="0.25">
      <c r="A12" s="39" t="s">
        <v>288</v>
      </c>
      <c r="B12" s="46" t="s">
        <v>271</v>
      </c>
      <c r="C12" s="39" t="s">
        <v>272</v>
      </c>
      <c r="D12" s="142">
        <v>949476793</v>
      </c>
      <c r="E12" s="39" t="s">
        <v>261</v>
      </c>
      <c r="F12" s="81">
        <v>37782</v>
      </c>
      <c r="G12" s="105" t="str">
        <f t="shared" si="0"/>
        <v>Jun</v>
      </c>
      <c r="H12" s="51">
        <f t="shared" ca="1" si="1"/>
        <v>13</v>
      </c>
      <c r="I12" s="52" t="s">
        <v>276</v>
      </c>
      <c r="J12" s="53">
        <v>17735</v>
      </c>
      <c r="K12" s="54">
        <v>3</v>
      </c>
      <c r="Q12" s="71"/>
      <c r="T12" s="64"/>
      <c r="U12" s="68"/>
      <c r="V12" s="68"/>
      <c r="W12" s="68"/>
      <c r="X12" s="68"/>
      <c r="Y12" s="68"/>
      <c r="Z12" s="52"/>
      <c r="AA12" s="70"/>
      <c r="AB12" s="52"/>
      <c r="AC12" s="52"/>
      <c r="AD12" s="52"/>
      <c r="AE12" s="52"/>
    </row>
    <row r="13" spans="1:32" x14ac:dyDescent="0.25">
      <c r="A13" s="45" t="s">
        <v>277</v>
      </c>
      <c r="B13" s="46" t="s">
        <v>271</v>
      </c>
      <c r="C13" s="45" t="s">
        <v>272</v>
      </c>
      <c r="D13" s="142">
        <v>743567419</v>
      </c>
      <c r="E13" s="45" t="s">
        <v>256</v>
      </c>
      <c r="F13" s="105">
        <v>38142</v>
      </c>
      <c r="G13" s="105" t="str">
        <f t="shared" si="0"/>
        <v>Jun</v>
      </c>
      <c r="H13" s="51">
        <f t="shared" ca="1" si="1"/>
        <v>12</v>
      </c>
      <c r="I13" s="52" t="s">
        <v>257</v>
      </c>
      <c r="J13" s="53">
        <v>49350</v>
      </c>
      <c r="K13" s="54">
        <v>4</v>
      </c>
      <c r="N13" s="56"/>
      <c r="Q13" s="71"/>
      <c r="T13" s="64"/>
      <c r="U13" s="68"/>
      <c r="V13" s="68"/>
      <c r="W13" s="68"/>
      <c r="X13" s="68"/>
      <c r="Y13" s="68"/>
      <c r="Z13" s="52"/>
      <c r="AA13" s="70"/>
      <c r="AB13" s="52"/>
      <c r="AC13" s="52"/>
      <c r="AD13" s="52"/>
      <c r="AE13" s="52"/>
    </row>
    <row r="14" spans="1:32" x14ac:dyDescent="0.25">
      <c r="A14" s="45" t="s">
        <v>1060</v>
      </c>
      <c r="B14" s="46" t="s">
        <v>271</v>
      </c>
      <c r="C14" s="45" t="s">
        <v>272</v>
      </c>
      <c r="D14" s="142">
        <v>913964921</v>
      </c>
      <c r="E14" s="45" t="s">
        <v>261</v>
      </c>
      <c r="F14" s="105">
        <v>33474</v>
      </c>
      <c r="G14" s="105" t="str">
        <f t="shared" si="0"/>
        <v>Aug</v>
      </c>
      <c r="H14" s="51">
        <f t="shared" ca="1" si="1"/>
        <v>25</v>
      </c>
      <c r="I14" s="52" t="s">
        <v>262</v>
      </c>
      <c r="J14" s="53">
        <v>30445</v>
      </c>
      <c r="K14" s="54">
        <v>1</v>
      </c>
      <c r="N14" s="56"/>
      <c r="T14" s="64"/>
      <c r="U14" s="68"/>
      <c r="V14" s="68"/>
      <c r="W14" s="68"/>
      <c r="X14" s="68"/>
      <c r="Y14" s="68"/>
      <c r="Z14" s="52"/>
      <c r="AA14" s="70"/>
      <c r="AB14" s="52"/>
      <c r="AC14" s="52"/>
      <c r="AD14" s="52"/>
      <c r="AE14" s="52"/>
    </row>
    <row r="15" spans="1:32" hidden="1" x14ac:dyDescent="0.25">
      <c r="A15" s="39" t="s">
        <v>293</v>
      </c>
      <c r="B15" s="46" t="s">
        <v>285</v>
      </c>
      <c r="C15" s="39" t="s">
        <v>272</v>
      </c>
      <c r="D15" s="142">
        <v>738732261</v>
      </c>
      <c r="E15" s="39" t="s">
        <v>256</v>
      </c>
      <c r="F15" s="81">
        <v>33831</v>
      </c>
      <c r="G15" s="105" t="str">
        <f t="shared" si="0"/>
        <v>Aug</v>
      </c>
      <c r="H15" s="51">
        <f t="shared" ca="1" si="1"/>
        <v>24</v>
      </c>
      <c r="I15" s="52" t="s">
        <v>257</v>
      </c>
      <c r="J15" s="53">
        <v>79760</v>
      </c>
      <c r="K15" s="54">
        <v>5</v>
      </c>
      <c r="T15" s="64"/>
      <c r="U15" s="68"/>
      <c r="V15" s="68"/>
      <c r="W15" s="68"/>
      <c r="X15" s="68"/>
      <c r="Y15" s="68"/>
      <c r="Z15" s="52"/>
      <c r="AA15" s="70"/>
      <c r="AB15" s="52"/>
      <c r="AC15" s="52"/>
      <c r="AD15" s="52"/>
      <c r="AE15" s="52"/>
    </row>
    <row r="16" spans="1:32" hidden="1" x14ac:dyDescent="0.25">
      <c r="A16" s="39" t="s">
        <v>291</v>
      </c>
      <c r="B16" s="46" t="s">
        <v>266</v>
      </c>
      <c r="C16" s="39" t="s">
        <v>272</v>
      </c>
      <c r="D16" s="142">
        <v>875826544</v>
      </c>
      <c r="E16" s="39" t="s">
        <v>256</v>
      </c>
      <c r="F16" s="81">
        <v>36764</v>
      </c>
      <c r="G16" s="105" t="str">
        <f t="shared" si="0"/>
        <v>Aug</v>
      </c>
      <c r="H16" s="51">
        <f t="shared" ca="1" si="1"/>
        <v>16</v>
      </c>
      <c r="I16" s="52" t="s">
        <v>276</v>
      </c>
      <c r="J16" s="53">
        <v>74840</v>
      </c>
      <c r="K16" s="54">
        <v>4</v>
      </c>
      <c r="U16" s="74"/>
      <c r="V16" s="74"/>
      <c r="W16" s="74"/>
      <c r="X16" s="74"/>
      <c r="Y16" s="52"/>
      <c r="Z16" s="52"/>
      <c r="AA16" s="52"/>
      <c r="AB16" s="52"/>
      <c r="AC16" s="52"/>
      <c r="AD16" s="52"/>
      <c r="AE16" s="52"/>
    </row>
    <row r="17" spans="1:14" hidden="1" x14ac:dyDescent="0.25">
      <c r="A17" s="45" t="s">
        <v>279</v>
      </c>
      <c r="B17" s="46" t="s">
        <v>280</v>
      </c>
      <c r="C17" s="45" t="s">
        <v>272</v>
      </c>
      <c r="D17" s="142">
        <v>648099824</v>
      </c>
      <c r="E17" s="45" t="s">
        <v>252</v>
      </c>
      <c r="F17" s="105">
        <v>33482</v>
      </c>
      <c r="G17" s="105" t="str">
        <f t="shared" si="0"/>
        <v>Sep</v>
      </c>
      <c r="H17" s="51">
        <f t="shared" ca="1" si="1"/>
        <v>25</v>
      </c>
      <c r="I17" s="52" t="s">
        <v>257</v>
      </c>
      <c r="J17" s="53">
        <v>29070</v>
      </c>
      <c r="K17" s="54">
        <v>3</v>
      </c>
      <c r="N17" s="56"/>
    </row>
    <row r="18" spans="1:14" hidden="1" x14ac:dyDescent="0.25">
      <c r="A18" s="39" t="s">
        <v>286</v>
      </c>
      <c r="B18" s="46" t="s">
        <v>245</v>
      </c>
      <c r="C18" s="39" t="s">
        <v>272</v>
      </c>
      <c r="D18" s="142">
        <v>449757915</v>
      </c>
      <c r="E18" s="39" t="s">
        <v>247</v>
      </c>
      <c r="F18" s="81">
        <v>36777</v>
      </c>
      <c r="G18" s="105" t="str">
        <f t="shared" si="0"/>
        <v>Sep</v>
      </c>
      <c r="H18" s="51">
        <f t="shared" ca="1" si="1"/>
        <v>16</v>
      </c>
      <c r="I18" s="52"/>
      <c r="J18" s="53">
        <v>76690</v>
      </c>
      <c r="K18" s="54">
        <v>3</v>
      </c>
      <c r="N18" s="56"/>
    </row>
    <row r="19" spans="1:14" hidden="1" x14ac:dyDescent="0.25">
      <c r="A19" s="45" t="s">
        <v>275</v>
      </c>
      <c r="B19" s="46" t="s">
        <v>245</v>
      </c>
      <c r="C19" s="45" t="s">
        <v>272</v>
      </c>
      <c r="D19" s="142">
        <v>408295902</v>
      </c>
      <c r="E19" s="45" t="s">
        <v>256</v>
      </c>
      <c r="F19" s="105">
        <v>39704</v>
      </c>
      <c r="G19" s="105" t="str">
        <f t="shared" si="0"/>
        <v>Sep</v>
      </c>
      <c r="H19" s="51">
        <f t="shared" ca="1" si="1"/>
        <v>8</v>
      </c>
      <c r="I19" s="52" t="s">
        <v>276</v>
      </c>
      <c r="J19" s="53">
        <v>58290</v>
      </c>
      <c r="K19" s="54">
        <v>5</v>
      </c>
      <c r="N19" s="56"/>
    </row>
    <row r="20" spans="1:14" hidden="1" x14ac:dyDescent="0.25">
      <c r="A20" s="45" t="s">
        <v>282</v>
      </c>
      <c r="B20" s="46" t="s">
        <v>280</v>
      </c>
      <c r="C20" s="45" t="s">
        <v>272</v>
      </c>
      <c r="D20" s="142">
        <v>976890727</v>
      </c>
      <c r="E20" s="45" t="s">
        <v>256</v>
      </c>
      <c r="F20" s="105">
        <v>35742</v>
      </c>
      <c r="G20" s="105" t="str">
        <f t="shared" si="0"/>
        <v>Nov</v>
      </c>
      <c r="H20" s="51">
        <f t="shared" ca="1" si="1"/>
        <v>19</v>
      </c>
      <c r="I20" s="52" t="s">
        <v>283</v>
      </c>
      <c r="J20" s="53">
        <v>85300</v>
      </c>
      <c r="K20" s="54">
        <v>2</v>
      </c>
      <c r="N20" s="56"/>
    </row>
    <row r="21" spans="1:14" hidden="1" x14ac:dyDescent="0.25">
      <c r="A21" s="45" t="s">
        <v>278</v>
      </c>
      <c r="B21" s="46" t="s">
        <v>245</v>
      </c>
      <c r="C21" s="45" t="s">
        <v>272</v>
      </c>
      <c r="D21" s="142">
        <v>296590972</v>
      </c>
      <c r="E21" s="45" t="s">
        <v>252</v>
      </c>
      <c r="F21" s="105">
        <v>40126</v>
      </c>
      <c r="G21" s="105" t="str">
        <f t="shared" si="0"/>
        <v>Nov</v>
      </c>
      <c r="H21" s="51">
        <f t="shared" ca="1" si="1"/>
        <v>7</v>
      </c>
      <c r="I21" s="52"/>
      <c r="J21" s="53">
        <v>10636</v>
      </c>
      <c r="K21" s="54">
        <v>4</v>
      </c>
      <c r="N21" s="56"/>
    </row>
    <row r="22" spans="1:14" hidden="1" x14ac:dyDescent="0.25">
      <c r="A22" s="39" t="s">
        <v>294</v>
      </c>
      <c r="B22" s="46" t="s">
        <v>251</v>
      </c>
      <c r="C22" s="39" t="s">
        <v>272</v>
      </c>
      <c r="D22" s="142">
        <v>869619136</v>
      </c>
      <c r="E22" s="39" t="s">
        <v>256</v>
      </c>
      <c r="F22" s="81">
        <v>36143</v>
      </c>
      <c r="G22" s="105" t="str">
        <f t="shared" si="0"/>
        <v>Dec</v>
      </c>
      <c r="H22" s="51">
        <f t="shared" ca="1" si="1"/>
        <v>17</v>
      </c>
      <c r="I22" s="52" t="s">
        <v>283</v>
      </c>
      <c r="J22" s="53">
        <v>72090</v>
      </c>
      <c r="K22" s="54">
        <v>5</v>
      </c>
    </row>
    <row r="23" spans="1:14" hidden="1" x14ac:dyDescent="0.25">
      <c r="A23" s="39" t="s">
        <v>290</v>
      </c>
      <c r="B23" s="46" t="s">
        <v>266</v>
      </c>
      <c r="C23" s="39" t="s">
        <v>272</v>
      </c>
      <c r="D23" s="142">
        <v>173338460</v>
      </c>
      <c r="E23" s="39" t="s">
        <v>256</v>
      </c>
      <c r="F23" s="81">
        <v>39069</v>
      </c>
      <c r="G23" s="105" t="str">
        <f t="shared" si="0"/>
        <v>Dec</v>
      </c>
      <c r="H23" s="51">
        <f t="shared" ca="1" si="1"/>
        <v>9</v>
      </c>
      <c r="I23" s="52" t="s">
        <v>267</v>
      </c>
      <c r="J23" s="53">
        <v>37670</v>
      </c>
      <c r="K23" s="54">
        <v>3</v>
      </c>
    </row>
    <row r="24" spans="1:14" x14ac:dyDescent="0.25">
      <c r="A24" s="39" t="s">
        <v>300</v>
      </c>
      <c r="B24" s="46" t="s">
        <v>271</v>
      </c>
      <c r="C24" s="39" t="s">
        <v>296</v>
      </c>
      <c r="D24" s="142">
        <v>997694951</v>
      </c>
      <c r="E24" s="39" t="s">
        <v>256</v>
      </c>
      <c r="F24" s="81">
        <v>35459</v>
      </c>
      <c r="G24" s="105" t="str">
        <f t="shared" si="0"/>
        <v>Jan</v>
      </c>
      <c r="H24" s="51">
        <f t="shared" ca="1" si="1"/>
        <v>19</v>
      </c>
      <c r="I24" s="52" t="s">
        <v>283</v>
      </c>
      <c r="J24" s="53">
        <v>49360</v>
      </c>
      <c r="K24" s="54">
        <v>2</v>
      </c>
    </row>
    <row r="25" spans="1:14" hidden="1" x14ac:dyDescent="0.25">
      <c r="A25" s="39" t="s">
        <v>303</v>
      </c>
      <c r="B25" s="46" t="s">
        <v>245</v>
      </c>
      <c r="C25" s="39" t="s">
        <v>296</v>
      </c>
      <c r="D25" s="142">
        <v>435936680</v>
      </c>
      <c r="E25" s="39" t="s">
        <v>256</v>
      </c>
      <c r="F25" s="81">
        <v>36893</v>
      </c>
      <c r="G25" s="105" t="str">
        <f t="shared" si="0"/>
        <v>Jan</v>
      </c>
      <c r="H25" s="51">
        <f t="shared" ca="1" si="1"/>
        <v>15</v>
      </c>
      <c r="I25" s="52" t="s">
        <v>283</v>
      </c>
      <c r="J25" s="53">
        <v>33640</v>
      </c>
      <c r="K25" s="54">
        <v>3</v>
      </c>
    </row>
    <row r="26" spans="1:14" hidden="1" x14ac:dyDescent="0.25">
      <c r="A26" s="39" t="s">
        <v>298</v>
      </c>
      <c r="B26" s="46" t="s">
        <v>285</v>
      </c>
      <c r="C26" s="39" t="s">
        <v>296</v>
      </c>
      <c r="D26" s="142">
        <v>977547255</v>
      </c>
      <c r="E26" s="39" t="s">
        <v>256</v>
      </c>
      <c r="F26" s="81">
        <v>36214</v>
      </c>
      <c r="G26" s="105" t="str">
        <f t="shared" si="0"/>
        <v>Feb</v>
      </c>
      <c r="H26" s="51">
        <f t="shared" ca="1" si="1"/>
        <v>17</v>
      </c>
      <c r="I26" s="52" t="s">
        <v>276</v>
      </c>
      <c r="J26" s="53">
        <v>47850</v>
      </c>
      <c r="K26" s="54">
        <v>1</v>
      </c>
    </row>
    <row r="27" spans="1:14" hidden="1" x14ac:dyDescent="0.25">
      <c r="A27" s="39" t="s">
        <v>302</v>
      </c>
      <c r="B27" s="46" t="s">
        <v>251</v>
      </c>
      <c r="C27" s="39" t="s">
        <v>296</v>
      </c>
      <c r="D27" s="142">
        <v>506579942</v>
      </c>
      <c r="E27" s="39" t="s">
        <v>256</v>
      </c>
      <c r="F27" s="81">
        <v>38051</v>
      </c>
      <c r="G27" s="105" t="str">
        <f t="shared" si="0"/>
        <v>Mar</v>
      </c>
      <c r="H27" s="51">
        <f t="shared" ca="1" si="1"/>
        <v>12</v>
      </c>
      <c r="I27" s="52" t="s">
        <v>257</v>
      </c>
      <c r="J27" s="53">
        <v>30350</v>
      </c>
      <c r="K27" s="54">
        <v>1</v>
      </c>
    </row>
    <row r="28" spans="1:14" hidden="1" x14ac:dyDescent="0.25">
      <c r="A28" s="39" t="s">
        <v>297</v>
      </c>
      <c r="B28" s="46" t="s">
        <v>245</v>
      </c>
      <c r="C28" s="39" t="s">
        <v>296</v>
      </c>
      <c r="D28" s="142">
        <v>701949801</v>
      </c>
      <c r="E28" s="39" t="s">
        <v>256</v>
      </c>
      <c r="F28" s="81">
        <v>36619</v>
      </c>
      <c r="G28" s="105" t="str">
        <f t="shared" si="0"/>
        <v>Apr</v>
      </c>
      <c r="H28" s="51">
        <f t="shared" ca="1" si="1"/>
        <v>16</v>
      </c>
      <c r="I28" s="52" t="s">
        <v>267</v>
      </c>
      <c r="J28" s="53">
        <v>56440</v>
      </c>
      <c r="K28" s="54">
        <v>1</v>
      </c>
    </row>
    <row r="29" spans="1:14" hidden="1" x14ac:dyDescent="0.25">
      <c r="A29" s="39" t="s">
        <v>299</v>
      </c>
      <c r="B29" s="46" t="s">
        <v>245</v>
      </c>
      <c r="C29" s="39" t="s">
        <v>296</v>
      </c>
      <c r="D29" s="142">
        <v>221738049</v>
      </c>
      <c r="E29" s="39" t="s">
        <v>261</v>
      </c>
      <c r="F29" s="81">
        <v>35564</v>
      </c>
      <c r="G29" s="105" t="str">
        <f t="shared" si="0"/>
        <v>May</v>
      </c>
      <c r="H29" s="51">
        <f t="shared" ca="1" si="1"/>
        <v>19</v>
      </c>
      <c r="I29" s="52" t="s">
        <v>257</v>
      </c>
      <c r="J29" s="53">
        <v>11025</v>
      </c>
      <c r="K29" s="54">
        <v>1</v>
      </c>
    </row>
    <row r="30" spans="1:14" x14ac:dyDescent="0.25">
      <c r="A30" s="39" t="s">
        <v>301</v>
      </c>
      <c r="B30" s="46" t="s">
        <v>271</v>
      </c>
      <c r="C30" s="39" t="s">
        <v>296</v>
      </c>
      <c r="D30" s="142">
        <v>301176418</v>
      </c>
      <c r="E30" s="39" t="s">
        <v>252</v>
      </c>
      <c r="F30" s="81">
        <v>35674</v>
      </c>
      <c r="G30" s="105" t="str">
        <f t="shared" si="0"/>
        <v>Sep</v>
      </c>
      <c r="H30" s="51">
        <f t="shared" ca="1" si="1"/>
        <v>19</v>
      </c>
      <c r="I30" s="52"/>
      <c r="J30" s="53">
        <v>20028</v>
      </c>
      <c r="K30" s="54">
        <v>4</v>
      </c>
    </row>
    <row r="31" spans="1:14" hidden="1" x14ac:dyDescent="0.25">
      <c r="A31" s="39" t="s">
        <v>295</v>
      </c>
      <c r="B31" s="46" t="s">
        <v>245</v>
      </c>
      <c r="C31" s="39" t="s">
        <v>296</v>
      </c>
      <c r="D31" s="142">
        <v>922702781</v>
      </c>
      <c r="E31" s="39" t="s">
        <v>256</v>
      </c>
      <c r="F31" s="81">
        <v>40106</v>
      </c>
      <c r="G31" s="105" t="str">
        <f t="shared" si="0"/>
        <v>Oct</v>
      </c>
      <c r="H31" s="51">
        <f t="shared" ca="1" si="1"/>
        <v>7</v>
      </c>
      <c r="I31" s="52" t="s">
        <v>262</v>
      </c>
      <c r="J31" s="53">
        <v>51180</v>
      </c>
      <c r="K31" s="54">
        <v>3</v>
      </c>
      <c r="M31" s="63"/>
    </row>
    <row r="32" spans="1:14" hidden="1" x14ac:dyDescent="0.25">
      <c r="A32" s="39" t="s">
        <v>305</v>
      </c>
      <c r="B32" s="46" t="s">
        <v>245</v>
      </c>
      <c r="C32" s="39" t="s">
        <v>296</v>
      </c>
      <c r="D32" s="142">
        <v>918780574</v>
      </c>
      <c r="E32" s="39" t="s">
        <v>256</v>
      </c>
      <c r="F32" s="81">
        <v>33551</v>
      </c>
      <c r="G32" s="105" t="str">
        <f t="shared" si="0"/>
        <v>Nov</v>
      </c>
      <c r="H32" s="51">
        <f t="shared" ca="1" si="1"/>
        <v>25</v>
      </c>
      <c r="I32" s="52" t="s">
        <v>262</v>
      </c>
      <c r="J32" s="53">
        <v>41350</v>
      </c>
      <c r="K32" s="54">
        <v>2</v>
      </c>
    </row>
    <row r="33" spans="1:16" hidden="1" x14ac:dyDescent="0.25">
      <c r="A33" s="39" t="s">
        <v>304</v>
      </c>
      <c r="B33" s="46" t="s">
        <v>285</v>
      </c>
      <c r="C33" s="39" t="s">
        <v>296</v>
      </c>
      <c r="D33" s="142">
        <v>283798481</v>
      </c>
      <c r="E33" s="39" t="s">
        <v>256</v>
      </c>
      <c r="F33" s="81">
        <v>34301</v>
      </c>
      <c r="G33" s="105" t="str">
        <f t="shared" si="0"/>
        <v>Nov</v>
      </c>
      <c r="H33" s="51">
        <f t="shared" ca="1" si="1"/>
        <v>22</v>
      </c>
      <c r="I33" s="52" t="s">
        <v>257</v>
      </c>
      <c r="J33" s="53">
        <v>73440</v>
      </c>
      <c r="K33" s="54">
        <v>1</v>
      </c>
    </row>
    <row r="34" spans="1:16" hidden="1" x14ac:dyDescent="0.25">
      <c r="A34" s="39" t="s">
        <v>306</v>
      </c>
      <c r="B34" s="46" t="s">
        <v>285</v>
      </c>
      <c r="C34" s="39" t="s">
        <v>307</v>
      </c>
      <c r="D34" s="142">
        <v>514668289</v>
      </c>
      <c r="E34" s="39" t="s">
        <v>256</v>
      </c>
      <c r="F34" s="81">
        <v>33713</v>
      </c>
      <c r="G34" s="105" t="str">
        <f t="shared" si="0"/>
        <v>Apr</v>
      </c>
      <c r="H34" s="51">
        <f t="shared" ca="1" si="1"/>
        <v>24</v>
      </c>
      <c r="I34" s="52" t="s">
        <v>257</v>
      </c>
      <c r="J34" s="53">
        <v>46220</v>
      </c>
      <c r="K34" s="54">
        <v>3</v>
      </c>
      <c r="M34" s="63"/>
      <c r="N34" s="75"/>
    </row>
    <row r="35" spans="1:16" hidden="1" x14ac:dyDescent="0.25">
      <c r="A35" s="39" t="s">
        <v>310</v>
      </c>
      <c r="B35" s="46" t="s">
        <v>280</v>
      </c>
      <c r="C35" s="39" t="s">
        <v>307</v>
      </c>
      <c r="D35" s="142">
        <v>845854028</v>
      </c>
      <c r="E35" s="39" t="s">
        <v>247</v>
      </c>
      <c r="F35" s="81">
        <v>35395</v>
      </c>
      <c r="G35" s="105" t="str">
        <f t="shared" si="0"/>
        <v>Nov</v>
      </c>
      <c r="H35" s="51">
        <f t="shared" ca="1" si="1"/>
        <v>19</v>
      </c>
      <c r="I35" s="52"/>
      <c r="J35" s="53">
        <v>58130</v>
      </c>
      <c r="K35" s="54">
        <v>2</v>
      </c>
    </row>
    <row r="36" spans="1:16" hidden="1" x14ac:dyDescent="0.25">
      <c r="A36" s="39" t="s">
        <v>308</v>
      </c>
      <c r="B36" s="46" t="s">
        <v>285</v>
      </c>
      <c r="C36" s="39" t="s">
        <v>307</v>
      </c>
      <c r="D36" s="142">
        <v>869355642</v>
      </c>
      <c r="E36" s="39" t="s">
        <v>261</v>
      </c>
      <c r="F36" s="81">
        <v>39417</v>
      </c>
      <c r="G36" s="105" t="str">
        <f t="shared" si="0"/>
        <v>Dec</v>
      </c>
      <c r="H36" s="51">
        <f t="shared" ca="1" si="1"/>
        <v>8</v>
      </c>
      <c r="I36" s="52" t="s">
        <v>267</v>
      </c>
      <c r="J36" s="53">
        <v>46095</v>
      </c>
      <c r="K36" s="54">
        <v>3</v>
      </c>
    </row>
    <row r="37" spans="1:16" x14ac:dyDescent="0.25">
      <c r="A37" s="39" t="s">
        <v>309</v>
      </c>
      <c r="B37" s="46" t="s">
        <v>271</v>
      </c>
      <c r="C37" s="39" t="s">
        <v>307</v>
      </c>
      <c r="D37" s="142">
        <v>315679067</v>
      </c>
      <c r="E37" s="39" t="s">
        <v>261</v>
      </c>
      <c r="F37" s="81">
        <v>40152</v>
      </c>
      <c r="G37" s="105" t="str">
        <f t="shared" si="0"/>
        <v>Dec</v>
      </c>
      <c r="H37" s="51">
        <f t="shared" ca="1" si="1"/>
        <v>6</v>
      </c>
      <c r="I37" s="52" t="s">
        <v>283</v>
      </c>
      <c r="J37" s="53">
        <v>28680</v>
      </c>
      <c r="K37" s="54">
        <v>1</v>
      </c>
      <c r="O37" s="75"/>
      <c r="P37" s="75"/>
    </row>
    <row r="38" spans="1:16" hidden="1" x14ac:dyDescent="0.25">
      <c r="A38" s="39" t="s">
        <v>315</v>
      </c>
      <c r="B38" s="46" t="s">
        <v>285</v>
      </c>
      <c r="C38" s="39" t="s">
        <v>312</v>
      </c>
      <c r="D38" s="142">
        <v>802202338</v>
      </c>
      <c r="E38" s="39" t="s">
        <v>252</v>
      </c>
      <c r="F38" s="81">
        <v>33620</v>
      </c>
      <c r="G38" s="105" t="str">
        <f t="shared" si="0"/>
        <v>Jan</v>
      </c>
      <c r="H38" s="51">
        <f t="shared" ca="1" si="1"/>
        <v>24</v>
      </c>
      <c r="I38" s="52"/>
      <c r="J38" s="53">
        <v>14568</v>
      </c>
      <c r="K38" s="54">
        <v>3</v>
      </c>
      <c r="N38" s="75"/>
    </row>
    <row r="39" spans="1:16" hidden="1" x14ac:dyDescent="0.25">
      <c r="A39" s="39" t="s">
        <v>367</v>
      </c>
      <c r="B39" s="46" t="s">
        <v>245</v>
      </c>
      <c r="C39" s="39" t="s">
        <v>312</v>
      </c>
      <c r="D39" s="142">
        <v>287243247</v>
      </c>
      <c r="E39" s="39" t="s">
        <v>247</v>
      </c>
      <c r="F39" s="81">
        <v>33981</v>
      </c>
      <c r="G39" s="105" t="str">
        <f t="shared" si="0"/>
        <v>Jan</v>
      </c>
      <c r="H39" s="51">
        <f t="shared" ca="1" si="1"/>
        <v>23</v>
      </c>
      <c r="I39" s="52"/>
      <c r="J39" s="53">
        <v>83020</v>
      </c>
      <c r="K39" s="54">
        <v>4</v>
      </c>
    </row>
    <row r="40" spans="1:16" x14ac:dyDescent="0.25">
      <c r="A40" s="39" t="s">
        <v>318</v>
      </c>
      <c r="B40" s="46" t="s">
        <v>271</v>
      </c>
      <c r="C40" s="39" t="s">
        <v>312</v>
      </c>
      <c r="D40" s="142">
        <v>609941729</v>
      </c>
      <c r="E40" s="39" t="s">
        <v>256</v>
      </c>
      <c r="F40" s="81">
        <v>35086</v>
      </c>
      <c r="G40" s="105" t="str">
        <f t="shared" si="0"/>
        <v>Jan</v>
      </c>
      <c r="H40" s="51">
        <f t="shared" ca="1" si="1"/>
        <v>20</v>
      </c>
      <c r="I40" s="52" t="s">
        <v>267</v>
      </c>
      <c r="J40" s="53">
        <v>77350</v>
      </c>
      <c r="K40" s="54">
        <v>5</v>
      </c>
      <c r="M40" s="63"/>
    </row>
    <row r="41" spans="1:16" hidden="1" x14ac:dyDescent="0.25">
      <c r="A41" s="39" t="s">
        <v>358</v>
      </c>
      <c r="B41" s="46" t="s">
        <v>266</v>
      </c>
      <c r="C41" s="39" t="s">
        <v>312</v>
      </c>
      <c r="D41" s="142">
        <v>154212172</v>
      </c>
      <c r="E41" s="39" t="s">
        <v>261</v>
      </c>
      <c r="F41" s="81">
        <v>36896</v>
      </c>
      <c r="G41" s="105" t="str">
        <f t="shared" si="0"/>
        <v>Jan</v>
      </c>
      <c r="H41" s="51">
        <f t="shared" ca="1" si="1"/>
        <v>15</v>
      </c>
      <c r="I41" s="52" t="s">
        <v>257</v>
      </c>
      <c r="J41" s="53">
        <v>35280</v>
      </c>
      <c r="K41" s="54">
        <v>3</v>
      </c>
    </row>
    <row r="42" spans="1:16" hidden="1" x14ac:dyDescent="0.25">
      <c r="A42" s="39" t="s">
        <v>326</v>
      </c>
      <c r="B42" s="46" t="s">
        <v>280</v>
      </c>
      <c r="C42" s="39" t="s">
        <v>312</v>
      </c>
      <c r="D42" s="142">
        <v>646627249</v>
      </c>
      <c r="E42" s="39" t="s">
        <v>247</v>
      </c>
      <c r="F42" s="81">
        <v>35119</v>
      </c>
      <c r="G42" s="105" t="str">
        <f t="shared" si="0"/>
        <v>Feb</v>
      </c>
      <c r="H42" s="51">
        <f t="shared" ca="1" si="1"/>
        <v>20</v>
      </c>
      <c r="I42" s="52"/>
      <c r="J42" s="53">
        <v>64390</v>
      </c>
      <c r="K42" s="54">
        <v>2</v>
      </c>
    </row>
    <row r="43" spans="1:16" hidden="1" x14ac:dyDescent="0.25">
      <c r="A43" s="39" t="s">
        <v>352</v>
      </c>
      <c r="B43" s="46" t="s">
        <v>285</v>
      </c>
      <c r="C43" s="39" t="s">
        <v>312</v>
      </c>
      <c r="D43" s="142">
        <v>709375309</v>
      </c>
      <c r="E43" s="39" t="s">
        <v>256</v>
      </c>
      <c r="F43" s="81">
        <v>35829</v>
      </c>
      <c r="G43" s="105" t="str">
        <f t="shared" si="0"/>
        <v>Feb</v>
      </c>
      <c r="H43" s="51">
        <f t="shared" ca="1" si="1"/>
        <v>18</v>
      </c>
      <c r="I43" s="52" t="s">
        <v>257</v>
      </c>
      <c r="J43" s="53">
        <v>61030</v>
      </c>
      <c r="K43" s="54">
        <v>3</v>
      </c>
      <c r="M43" s="63"/>
      <c r="N43" s="75"/>
    </row>
    <row r="44" spans="1:16" x14ac:dyDescent="0.25">
      <c r="A44" s="39" t="s">
        <v>344</v>
      </c>
      <c r="B44" s="46" t="s">
        <v>271</v>
      </c>
      <c r="C44" s="39" t="s">
        <v>312</v>
      </c>
      <c r="D44" s="142">
        <v>402771527</v>
      </c>
      <c r="E44" s="39" t="s">
        <v>261</v>
      </c>
      <c r="F44" s="81">
        <v>35842</v>
      </c>
      <c r="G44" s="105" t="str">
        <f t="shared" si="0"/>
        <v>Feb</v>
      </c>
      <c r="H44" s="51">
        <f t="shared" ca="1" si="1"/>
        <v>18</v>
      </c>
      <c r="I44" s="52" t="s">
        <v>276</v>
      </c>
      <c r="J44" s="53">
        <v>23380</v>
      </c>
      <c r="K44" s="54">
        <v>4</v>
      </c>
    </row>
    <row r="45" spans="1:16" x14ac:dyDescent="0.25">
      <c r="A45" s="39" t="s">
        <v>314</v>
      </c>
      <c r="B45" s="46" t="s">
        <v>271</v>
      </c>
      <c r="C45" s="39" t="s">
        <v>312</v>
      </c>
      <c r="D45" s="142">
        <v>441441239</v>
      </c>
      <c r="E45" s="39" t="s">
        <v>247</v>
      </c>
      <c r="F45" s="81">
        <v>35848</v>
      </c>
      <c r="G45" s="105" t="str">
        <f t="shared" si="0"/>
        <v>Feb</v>
      </c>
      <c r="H45" s="51">
        <f t="shared" ca="1" si="1"/>
        <v>18</v>
      </c>
      <c r="I45" s="52"/>
      <c r="J45" s="53">
        <v>85480</v>
      </c>
      <c r="K45" s="54">
        <v>5</v>
      </c>
    </row>
    <row r="46" spans="1:16" hidden="1" x14ac:dyDescent="0.25">
      <c r="A46" s="39" t="s">
        <v>365</v>
      </c>
      <c r="B46" s="46" t="s">
        <v>251</v>
      </c>
      <c r="C46" s="39" t="s">
        <v>312</v>
      </c>
      <c r="D46" s="142">
        <v>656257481</v>
      </c>
      <c r="E46" s="39" t="s">
        <v>256</v>
      </c>
      <c r="F46" s="81">
        <v>40575</v>
      </c>
      <c r="G46" s="105" t="str">
        <f t="shared" si="0"/>
        <v>Feb</v>
      </c>
      <c r="H46" s="51">
        <f t="shared" ca="1" si="1"/>
        <v>5</v>
      </c>
      <c r="I46" s="52" t="s">
        <v>276</v>
      </c>
      <c r="J46" s="53">
        <v>74710</v>
      </c>
      <c r="K46" s="54">
        <v>2</v>
      </c>
    </row>
    <row r="47" spans="1:16" hidden="1" x14ac:dyDescent="0.25">
      <c r="A47" s="39" t="s">
        <v>340</v>
      </c>
      <c r="B47" s="46" t="s">
        <v>285</v>
      </c>
      <c r="C47" s="39" t="s">
        <v>312</v>
      </c>
      <c r="D47" s="142">
        <v>939109663</v>
      </c>
      <c r="E47" s="39" t="s">
        <v>256</v>
      </c>
      <c r="F47" s="81">
        <v>40596</v>
      </c>
      <c r="G47" s="105" t="str">
        <f t="shared" si="0"/>
        <v>Feb</v>
      </c>
      <c r="H47" s="51">
        <f t="shared" ca="1" si="1"/>
        <v>5</v>
      </c>
      <c r="I47" s="52" t="s">
        <v>267</v>
      </c>
      <c r="J47" s="53">
        <v>68910</v>
      </c>
      <c r="K47" s="54">
        <v>5</v>
      </c>
    </row>
    <row r="48" spans="1:16" hidden="1" x14ac:dyDescent="0.25">
      <c r="A48" s="39" t="s">
        <v>349</v>
      </c>
      <c r="B48" s="46" t="s">
        <v>251</v>
      </c>
      <c r="C48" s="39" t="s">
        <v>312</v>
      </c>
      <c r="D48" s="142">
        <v>733538081</v>
      </c>
      <c r="E48" s="39" t="s">
        <v>247</v>
      </c>
      <c r="F48" s="81">
        <v>33678</v>
      </c>
      <c r="G48" s="105" t="str">
        <f t="shared" si="0"/>
        <v>Mar</v>
      </c>
      <c r="H48" s="51">
        <f t="shared" ca="1" si="1"/>
        <v>24</v>
      </c>
      <c r="I48" s="52"/>
      <c r="J48" s="53">
        <v>64460</v>
      </c>
      <c r="K48" s="54">
        <v>1</v>
      </c>
    </row>
    <row r="49" spans="1:16" x14ac:dyDescent="0.25">
      <c r="A49" s="39" t="s">
        <v>353</v>
      </c>
      <c r="B49" s="46" t="s">
        <v>271</v>
      </c>
      <c r="C49" s="39" t="s">
        <v>312</v>
      </c>
      <c r="D49" s="142">
        <v>556904079</v>
      </c>
      <c r="E49" s="39" t="s">
        <v>247</v>
      </c>
      <c r="F49" s="81">
        <v>35505</v>
      </c>
      <c r="G49" s="105" t="str">
        <f t="shared" si="0"/>
        <v>Mar</v>
      </c>
      <c r="H49" s="51">
        <f t="shared" ca="1" si="1"/>
        <v>19</v>
      </c>
      <c r="I49" s="52"/>
      <c r="J49" s="53">
        <v>74740</v>
      </c>
      <c r="K49" s="54">
        <v>5</v>
      </c>
    </row>
    <row r="50" spans="1:16" hidden="1" x14ac:dyDescent="0.25">
      <c r="A50" s="39" t="s">
        <v>346</v>
      </c>
      <c r="B50" s="46" t="s">
        <v>245</v>
      </c>
      <c r="C50" s="39" t="s">
        <v>312</v>
      </c>
      <c r="D50" s="142">
        <v>305677673</v>
      </c>
      <c r="E50" s="39" t="s">
        <v>261</v>
      </c>
      <c r="F50" s="81">
        <v>35517</v>
      </c>
      <c r="G50" s="105" t="str">
        <f t="shared" si="0"/>
        <v>Mar</v>
      </c>
      <c r="H50" s="51">
        <f t="shared" ca="1" si="1"/>
        <v>19</v>
      </c>
      <c r="I50" s="52" t="s">
        <v>267</v>
      </c>
      <c r="J50" s="53">
        <v>48415</v>
      </c>
      <c r="K50" s="54">
        <v>4</v>
      </c>
    </row>
    <row r="51" spans="1:16" hidden="1" x14ac:dyDescent="0.25">
      <c r="A51" s="39" t="s">
        <v>338</v>
      </c>
      <c r="B51" s="46" t="s">
        <v>285</v>
      </c>
      <c r="C51" s="39" t="s">
        <v>312</v>
      </c>
      <c r="D51" s="142">
        <v>385614161</v>
      </c>
      <c r="E51" s="39" t="s">
        <v>252</v>
      </c>
      <c r="F51" s="81">
        <v>36602</v>
      </c>
      <c r="G51" s="105" t="str">
        <f t="shared" si="0"/>
        <v>Mar</v>
      </c>
      <c r="H51" s="51">
        <f t="shared" ca="1" si="1"/>
        <v>16</v>
      </c>
      <c r="I51" s="52"/>
      <c r="J51" s="53">
        <v>30080</v>
      </c>
      <c r="K51" s="54">
        <v>3</v>
      </c>
    </row>
    <row r="52" spans="1:16" hidden="1" x14ac:dyDescent="0.25">
      <c r="A52" s="39" t="s">
        <v>347</v>
      </c>
      <c r="B52" s="46" t="s">
        <v>245</v>
      </c>
      <c r="C52" s="39" t="s">
        <v>312</v>
      </c>
      <c r="D52" s="142">
        <v>385730003</v>
      </c>
      <c r="E52" s="39" t="s">
        <v>256</v>
      </c>
      <c r="F52" s="81">
        <v>33348</v>
      </c>
      <c r="G52" s="105" t="str">
        <f t="shared" si="0"/>
        <v>Apr</v>
      </c>
      <c r="H52" s="51">
        <f t="shared" ca="1" si="1"/>
        <v>25</v>
      </c>
      <c r="I52" s="52" t="s">
        <v>276</v>
      </c>
      <c r="J52" s="53">
        <v>49810</v>
      </c>
      <c r="K52" s="54">
        <v>2</v>
      </c>
      <c r="O52" s="75"/>
      <c r="P52" s="75"/>
    </row>
    <row r="53" spans="1:16" hidden="1" x14ac:dyDescent="0.25">
      <c r="A53" s="39" t="s">
        <v>366</v>
      </c>
      <c r="B53" s="46" t="s">
        <v>245</v>
      </c>
      <c r="C53" s="39" t="s">
        <v>312</v>
      </c>
      <c r="D53" s="142">
        <v>614068458</v>
      </c>
      <c r="E53" s="39" t="s">
        <v>247</v>
      </c>
      <c r="F53" s="81">
        <v>35160</v>
      </c>
      <c r="G53" s="105" t="str">
        <f t="shared" si="0"/>
        <v>Apr</v>
      </c>
      <c r="H53" s="51">
        <f t="shared" ca="1" si="1"/>
        <v>20</v>
      </c>
      <c r="I53" s="52"/>
      <c r="J53" s="53">
        <v>50550</v>
      </c>
      <c r="K53" s="54">
        <v>2</v>
      </c>
    </row>
    <row r="54" spans="1:16" x14ac:dyDescent="0.25">
      <c r="A54" s="39" t="s">
        <v>336</v>
      </c>
      <c r="B54" s="46" t="s">
        <v>271</v>
      </c>
      <c r="C54" s="39" t="s">
        <v>312</v>
      </c>
      <c r="D54" s="142">
        <v>793197298</v>
      </c>
      <c r="E54" s="39" t="s">
        <v>247</v>
      </c>
      <c r="F54" s="81">
        <v>35902</v>
      </c>
      <c r="G54" s="105" t="str">
        <f t="shared" si="0"/>
        <v>Apr</v>
      </c>
      <c r="H54" s="51">
        <f t="shared" ca="1" si="1"/>
        <v>18</v>
      </c>
      <c r="I54" s="52"/>
      <c r="J54" s="53">
        <v>63340</v>
      </c>
      <c r="K54" s="54">
        <v>3</v>
      </c>
    </row>
    <row r="55" spans="1:16" hidden="1" x14ac:dyDescent="0.25">
      <c r="A55" s="39" t="s">
        <v>356</v>
      </c>
      <c r="B55" s="46" t="s">
        <v>285</v>
      </c>
      <c r="C55" s="39" t="s">
        <v>312</v>
      </c>
      <c r="D55" s="142">
        <v>987347037</v>
      </c>
      <c r="E55" s="39" t="s">
        <v>256</v>
      </c>
      <c r="F55" s="81">
        <v>37008</v>
      </c>
      <c r="G55" s="105" t="str">
        <f t="shared" si="0"/>
        <v>Apr</v>
      </c>
      <c r="H55" s="51">
        <f t="shared" ca="1" si="1"/>
        <v>15</v>
      </c>
      <c r="I55" s="52" t="s">
        <v>257</v>
      </c>
      <c r="J55" s="53">
        <v>27180</v>
      </c>
      <c r="K55" s="54">
        <v>4</v>
      </c>
    </row>
    <row r="56" spans="1:16" hidden="1" x14ac:dyDescent="0.25">
      <c r="A56" s="39" t="s">
        <v>329</v>
      </c>
      <c r="B56" s="46" t="s">
        <v>285</v>
      </c>
      <c r="C56" s="39" t="s">
        <v>312</v>
      </c>
      <c r="D56" s="142">
        <v>491631053</v>
      </c>
      <c r="E56" s="39" t="s">
        <v>256</v>
      </c>
      <c r="F56" s="81">
        <v>37348</v>
      </c>
      <c r="G56" s="105" t="str">
        <f t="shared" si="0"/>
        <v>Apr</v>
      </c>
      <c r="H56" s="51">
        <f t="shared" ca="1" si="1"/>
        <v>14</v>
      </c>
      <c r="I56" s="52" t="s">
        <v>262</v>
      </c>
      <c r="J56" s="53">
        <v>85880</v>
      </c>
      <c r="K56" s="54">
        <v>3</v>
      </c>
    </row>
    <row r="57" spans="1:16" hidden="1" x14ac:dyDescent="0.25">
      <c r="A57" s="39" t="s">
        <v>363</v>
      </c>
      <c r="B57" s="46" t="s">
        <v>280</v>
      </c>
      <c r="C57" s="39" t="s">
        <v>312</v>
      </c>
      <c r="D57" s="142">
        <v>688738708</v>
      </c>
      <c r="E57" s="39" t="s">
        <v>247</v>
      </c>
      <c r="F57" s="81">
        <v>39922</v>
      </c>
      <c r="G57" s="105" t="str">
        <f t="shared" si="0"/>
        <v>Apr</v>
      </c>
      <c r="H57" s="51">
        <f t="shared" ca="1" si="1"/>
        <v>7</v>
      </c>
      <c r="I57" s="52"/>
      <c r="J57" s="53">
        <v>25790</v>
      </c>
      <c r="K57" s="54">
        <v>3</v>
      </c>
      <c r="O57" s="75"/>
      <c r="P57" s="75"/>
    </row>
    <row r="58" spans="1:16" x14ac:dyDescent="0.25">
      <c r="A58" s="39" t="s">
        <v>361</v>
      </c>
      <c r="B58" s="46" t="s">
        <v>271</v>
      </c>
      <c r="C58" s="39" t="s">
        <v>312</v>
      </c>
      <c r="D58" s="142">
        <v>375997483</v>
      </c>
      <c r="E58" s="39" t="s">
        <v>256</v>
      </c>
      <c r="F58" s="81">
        <v>40274</v>
      </c>
      <c r="G58" s="105" t="str">
        <f t="shared" si="0"/>
        <v>Apr</v>
      </c>
      <c r="H58" s="51">
        <f t="shared" ca="1" si="1"/>
        <v>6</v>
      </c>
      <c r="I58" s="52" t="s">
        <v>262</v>
      </c>
      <c r="J58" s="53">
        <v>38730</v>
      </c>
      <c r="K58" s="54">
        <v>1</v>
      </c>
    </row>
    <row r="59" spans="1:16" hidden="1" x14ac:dyDescent="0.25">
      <c r="A59" s="39" t="s">
        <v>359</v>
      </c>
      <c r="B59" s="46" t="s">
        <v>245</v>
      </c>
      <c r="C59" s="39" t="s">
        <v>312</v>
      </c>
      <c r="D59" s="142">
        <v>745828638</v>
      </c>
      <c r="E59" s="39" t="s">
        <v>256</v>
      </c>
      <c r="F59" s="103">
        <v>40292</v>
      </c>
      <c r="G59" s="105" t="str">
        <f t="shared" si="0"/>
        <v>Apr</v>
      </c>
      <c r="H59" s="51">
        <f t="shared" ca="1" si="1"/>
        <v>6</v>
      </c>
      <c r="I59" s="52" t="s">
        <v>257</v>
      </c>
      <c r="J59" s="53">
        <v>23280</v>
      </c>
      <c r="K59" s="54">
        <v>1</v>
      </c>
      <c r="O59" s="75"/>
      <c r="P59" s="75"/>
    </row>
    <row r="60" spans="1:16" hidden="1" x14ac:dyDescent="0.25">
      <c r="A60" s="39" t="s">
        <v>354</v>
      </c>
      <c r="B60" s="46" t="s">
        <v>285</v>
      </c>
      <c r="C60" s="39" t="s">
        <v>312</v>
      </c>
      <c r="D60" s="142">
        <v>536037298</v>
      </c>
      <c r="E60" s="39" t="s">
        <v>256</v>
      </c>
      <c r="F60" s="81">
        <v>33746</v>
      </c>
      <c r="G60" s="105" t="str">
        <f t="shared" si="0"/>
        <v>May</v>
      </c>
      <c r="H60" s="51">
        <f t="shared" ca="1" si="1"/>
        <v>24</v>
      </c>
      <c r="I60" s="52" t="s">
        <v>262</v>
      </c>
      <c r="J60" s="53">
        <v>31830</v>
      </c>
      <c r="K60" s="54">
        <v>3</v>
      </c>
    </row>
    <row r="61" spans="1:16" hidden="1" x14ac:dyDescent="0.25">
      <c r="A61" s="39" t="s">
        <v>368</v>
      </c>
      <c r="B61" s="46" t="s">
        <v>285</v>
      </c>
      <c r="C61" s="39" t="s">
        <v>312</v>
      </c>
      <c r="D61" s="142">
        <v>808619993</v>
      </c>
      <c r="E61" s="39" t="s">
        <v>256</v>
      </c>
      <c r="F61" s="81">
        <v>34474</v>
      </c>
      <c r="G61" s="105" t="str">
        <f t="shared" si="0"/>
        <v>May</v>
      </c>
      <c r="H61" s="51">
        <f t="shared" ca="1" si="1"/>
        <v>22</v>
      </c>
      <c r="I61" s="52" t="s">
        <v>262</v>
      </c>
      <c r="J61" s="53">
        <v>74670</v>
      </c>
      <c r="K61" s="54">
        <v>5</v>
      </c>
    </row>
    <row r="62" spans="1:16" x14ac:dyDescent="0.25">
      <c r="A62" s="39" t="s">
        <v>323</v>
      </c>
      <c r="B62" s="46" t="s">
        <v>271</v>
      </c>
      <c r="C62" s="39" t="s">
        <v>312</v>
      </c>
      <c r="D62" s="142">
        <v>821425651</v>
      </c>
      <c r="E62" s="39" t="s">
        <v>256</v>
      </c>
      <c r="F62" s="81">
        <v>34832</v>
      </c>
      <c r="G62" s="105" t="str">
        <f t="shared" si="0"/>
        <v>May</v>
      </c>
      <c r="H62" s="51">
        <f t="shared" ca="1" si="1"/>
        <v>21</v>
      </c>
      <c r="I62" s="52" t="s">
        <v>257</v>
      </c>
      <c r="J62" s="53">
        <v>31910</v>
      </c>
      <c r="K62" s="54">
        <v>5</v>
      </c>
    </row>
    <row r="63" spans="1:16" hidden="1" x14ac:dyDescent="0.25">
      <c r="A63" s="39" t="s">
        <v>333</v>
      </c>
      <c r="B63" s="46" t="s">
        <v>251</v>
      </c>
      <c r="C63" s="39" t="s">
        <v>312</v>
      </c>
      <c r="D63" s="142">
        <v>286138219</v>
      </c>
      <c r="E63" s="39" t="s">
        <v>256</v>
      </c>
      <c r="F63" s="81">
        <v>35197</v>
      </c>
      <c r="G63" s="105" t="str">
        <f t="shared" si="0"/>
        <v>May</v>
      </c>
      <c r="H63" s="51">
        <f t="shared" ca="1" si="1"/>
        <v>20</v>
      </c>
      <c r="I63" s="52" t="s">
        <v>276</v>
      </c>
      <c r="J63" s="53">
        <v>82120</v>
      </c>
      <c r="K63" s="54">
        <v>5</v>
      </c>
    </row>
    <row r="64" spans="1:16" hidden="1" x14ac:dyDescent="0.25">
      <c r="A64" s="39" t="s">
        <v>319</v>
      </c>
      <c r="B64" s="46" t="s">
        <v>285</v>
      </c>
      <c r="C64" s="39" t="s">
        <v>312</v>
      </c>
      <c r="D64" s="142">
        <v>549561117</v>
      </c>
      <c r="E64" s="39" t="s">
        <v>256</v>
      </c>
      <c r="F64" s="81">
        <v>35207</v>
      </c>
      <c r="G64" s="105" t="str">
        <f t="shared" si="0"/>
        <v>May</v>
      </c>
      <c r="H64" s="51">
        <f t="shared" ca="1" si="1"/>
        <v>20</v>
      </c>
      <c r="I64" s="52" t="s">
        <v>267</v>
      </c>
      <c r="J64" s="53">
        <v>77580</v>
      </c>
      <c r="K64" s="54">
        <v>3</v>
      </c>
    </row>
    <row r="65" spans="1:14" hidden="1" x14ac:dyDescent="0.25">
      <c r="A65" s="39" t="s">
        <v>335</v>
      </c>
      <c r="B65" s="46" t="s">
        <v>285</v>
      </c>
      <c r="C65" s="39" t="s">
        <v>312</v>
      </c>
      <c r="D65" s="142">
        <v>920342399</v>
      </c>
      <c r="E65" s="39" t="s">
        <v>247</v>
      </c>
      <c r="F65" s="81">
        <v>35569</v>
      </c>
      <c r="G65" s="105" t="str">
        <f t="shared" si="0"/>
        <v>May</v>
      </c>
      <c r="H65" s="51">
        <f t="shared" ca="1" si="1"/>
        <v>19</v>
      </c>
      <c r="I65" s="52"/>
      <c r="J65" s="53">
        <v>84200</v>
      </c>
      <c r="K65" s="54">
        <v>2</v>
      </c>
      <c r="M65" s="63"/>
      <c r="N65" s="75"/>
    </row>
    <row r="66" spans="1:14" hidden="1" x14ac:dyDescent="0.25">
      <c r="A66" s="39" t="s">
        <v>364</v>
      </c>
      <c r="B66" s="46" t="s">
        <v>266</v>
      </c>
      <c r="C66" s="39" t="s">
        <v>312</v>
      </c>
      <c r="D66" s="142">
        <v>545777239</v>
      </c>
      <c r="E66" s="39" t="s">
        <v>247</v>
      </c>
      <c r="F66" s="81">
        <v>35940</v>
      </c>
      <c r="G66" s="105" t="str">
        <f t="shared" ref="G66:G129" si="2">CHOOSE(MONTH(F66),"Jan","Feb","Mar","Apr","May","Jun","Jul","Aug","Sep","Oct","Nov","Dec")</f>
        <v>May</v>
      </c>
      <c r="H66" s="51">
        <f t="shared" ref="H66:H129" ca="1" si="3">DATEDIF(F66,TODAY(),"Y")</f>
        <v>18</v>
      </c>
      <c r="I66" s="52"/>
      <c r="J66" s="53">
        <v>88000</v>
      </c>
      <c r="K66" s="54">
        <v>5</v>
      </c>
    </row>
    <row r="67" spans="1:14" hidden="1" x14ac:dyDescent="0.25">
      <c r="A67" s="39" t="s">
        <v>345</v>
      </c>
      <c r="B67" s="46" t="s">
        <v>285</v>
      </c>
      <c r="C67" s="39" t="s">
        <v>312</v>
      </c>
      <c r="D67" s="142">
        <v>853206631</v>
      </c>
      <c r="E67" s="39" t="s">
        <v>256</v>
      </c>
      <c r="F67" s="81">
        <v>37018</v>
      </c>
      <c r="G67" s="105" t="str">
        <f t="shared" si="2"/>
        <v>May</v>
      </c>
      <c r="H67" s="51">
        <f t="shared" ca="1" si="3"/>
        <v>15</v>
      </c>
      <c r="I67" s="52" t="s">
        <v>283</v>
      </c>
      <c r="J67" s="53">
        <v>28650</v>
      </c>
      <c r="K67" s="54">
        <v>4</v>
      </c>
    </row>
    <row r="68" spans="1:14" hidden="1" x14ac:dyDescent="0.25">
      <c r="A68" s="39" t="s">
        <v>342</v>
      </c>
      <c r="B68" s="46" t="s">
        <v>285</v>
      </c>
      <c r="C68" s="39" t="s">
        <v>312</v>
      </c>
      <c r="D68" s="142">
        <v>296746447</v>
      </c>
      <c r="E68" s="39" t="s">
        <v>247</v>
      </c>
      <c r="F68" s="81">
        <v>39959</v>
      </c>
      <c r="G68" s="105" t="str">
        <f t="shared" si="2"/>
        <v>May</v>
      </c>
      <c r="H68" s="51">
        <f t="shared" ca="1" si="3"/>
        <v>7</v>
      </c>
      <c r="I68" s="52"/>
      <c r="J68" s="53">
        <v>79460</v>
      </c>
      <c r="K68" s="54">
        <v>5</v>
      </c>
    </row>
    <row r="69" spans="1:14" hidden="1" x14ac:dyDescent="0.25">
      <c r="A69" s="39" t="s">
        <v>328</v>
      </c>
      <c r="B69" s="46" t="s">
        <v>245</v>
      </c>
      <c r="C69" s="39" t="s">
        <v>312</v>
      </c>
      <c r="D69" s="142">
        <v>895259368</v>
      </c>
      <c r="E69" s="39" t="s">
        <v>256</v>
      </c>
      <c r="F69" s="81">
        <v>35965</v>
      </c>
      <c r="G69" s="105" t="str">
        <f t="shared" si="2"/>
        <v>Jun</v>
      </c>
      <c r="H69" s="76">
        <f t="shared" ca="1" si="3"/>
        <v>18</v>
      </c>
      <c r="I69" s="77" t="s">
        <v>267</v>
      </c>
      <c r="J69" s="53">
        <v>34780</v>
      </c>
      <c r="K69" s="54">
        <v>4</v>
      </c>
    </row>
    <row r="70" spans="1:14" hidden="1" x14ac:dyDescent="0.25">
      <c r="A70" s="39" t="s">
        <v>331</v>
      </c>
      <c r="B70" s="46" t="s">
        <v>285</v>
      </c>
      <c r="C70" s="39" t="s">
        <v>312</v>
      </c>
      <c r="D70" s="142">
        <v>442290283</v>
      </c>
      <c r="E70" s="39" t="s">
        <v>256</v>
      </c>
      <c r="F70" s="81">
        <v>37785</v>
      </c>
      <c r="G70" s="105" t="str">
        <f t="shared" si="2"/>
        <v>Jun</v>
      </c>
      <c r="H70" s="51">
        <f t="shared" ca="1" si="3"/>
        <v>13</v>
      </c>
      <c r="I70" s="52" t="s">
        <v>283</v>
      </c>
      <c r="J70" s="53">
        <v>87280</v>
      </c>
      <c r="K70" s="54">
        <v>4</v>
      </c>
    </row>
    <row r="71" spans="1:14" hidden="1" x14ac:dyDescent="0.25">
      <c r="A71" s="39" t="s">
        <v>330</v>
      </c>
      <c r="B71" s="46" t="s">
        <v>245</v>
      </c>
      <c r="C71" s="39" t="s">
        <v>312</v>
      </c>
      <c r="D71" s="142">
        <v>159410881</v>
      </c>
      <c r="E71" s="39" t="s">
        <v>256</v>
      </c>
      <c r="F71" s="81">
        <v>33786</v>
      </c>
      <c r="G71" s="105" t="str">
        <f t="shared" si="2"/>
        <v>Jul</v>
      </c>
      <c r="H71" s="51">
        <f t="shared" ca="1" si="3"/>
        <v>24</v>
      </c>
      <c r="I71" s="52" t="s">
        <v>257</v>
      </c>
      <c r="J71" s="53">
        <v>71150</v>
      </c>
      <c r="K71" s="54">
        <v>2</v>
      </c>
    </row>
    <row r="72" spans="1:14" x14ac:dyDescent="0.25">
      <c r="A72" s="39" t="s">
        <v>355</v>
      </c>
      <c r="B72" s="46" t="s">
        <v>271</v>
      </c>
      <c r="C72" s="39" t="s">
        <v>312</v>
      </c>
      <c r="D72" s="142">
        <v>630441083</v>
      </c>
      <c r="E72" s="39" t="s">
        <v>261</v>
      </c>
      <c r="F72" s="81">
        <v>34166</v>
      </c>
      <c r="G72" s="105" t="str">
        <f t="shared" si="2"/>
        <v>Jul</v>
      </c>
      <c r="H72" s="51">
        <f t="shared" ca="1" si="3"/>
        <v>23</v>
      </c>
      <c r="I72" s="52" t="s">
        <v>257</v>
      </c>
      <c r="J72" s="53">
        <v>26890</v>
      </c>
      <c r="K72" s="54">
        <v>3</v>
      </c>
    </row>
    <row r="73" spans="1:14" hidden="1" x14ac:dyDescent="0.25">
      <c r="A73" s="39" t="s">
        <v>360</v>
      </c>
      <c r="B73" s="46" t="s">
        <v>285</v>
      </c>
      <c r="C73" s="39" t="s">
        <v>312</v>
      </c>
      <c r="D73" s="142">
        <v>616657435</v>
      </c>
      <c r="E73" s="39" t="s">
        <v>247</v>
      </c>
      <c r="F73" s="81">
        <v>35255</v>
      </c>
      <c r="G73" s="105" t="str">
        <f t="shared" si="2"/>
        <v>Jul</v>
      </c>
      <c r="H73" s="51">
        <f t="shared" ca="1" si="3"/>
        <v>20</v>
      </c>
      <c r="I73" s="52"/>
      <c r="J73" s="53">
        <v>89310</v>
      </c>
      <c r="K73" s="54">
        <v>5</v>
      </c>
    </row>
    <row r="74" spans="1:14" hidden="1" x14ac:dyDescent="0.25">
      <c r="A74" s="39" t="s">
        <v>325</v>
      </c>
      <c r="B74" s="46" t="s">
        <v>285</v>
      </c>
      <c r="C74" s="39" t="s">
        <v>312</v>
      </c>
      <c r="D74" s="142">
        <v>847432317</v>
      </c>
      <c r="E74" s="39" t="s">
        <v>261</v>
      </c>
      <c r="F74" s="81">
        <v>33472</v>
      </c>
      <c r="G74" s="105" t="str">
        <f t="shared" si="2"/>
        <v>Aug</v>
      </c>
      <c r="H74" s="51">
        <f t="shared" ca="1" si="3"/>
        <v>25</v>
      </c>
      <c r="I74" s="52" t="s">
        <v>262</v>
      </c>
      <c r="J74" s="53">
        <v>13800</v>
      </c>
      <c r="K74" s="54">
        <v>3</v>
      </c>
    </row>
    <row r="75" spans="1:14" hidden="1" x14ac:dyDescent="0.25">
      <c r="A75" s="39" t="s">
        <v>357</v>
      </c>
      <c r="B75" s="46" t="s">
        <v>285</v>
      </c>
      <c r="C75" s="39" t="s">
        <v>312</v>
      </c>
      <c r="D75" s="142">
        <v>252960359</v>
      </c>
      <c r="E75" s="39" t="s">
        <v>261</v>
      </c>
      <c r="F75" s="81">
        <v>34548</v>
      </c>
      <c r="G75" s="105" t="str">
        <f t="shared" si="2"/>
        <v>Aug</v>
      </c>
      <c r="H75" s="51">
        <f t="shared" ca="1" si="3"/>
        <v>22</v>
      </c>
      <c r="I75" s="52" t="s">
        <v>276</v>
      </c>
      <c r="J75" s="53">
        <v>38920</v>
      </c>
      <c r="K75" s="54">
        <v>4</v>
      </c>
    </row>
    <row r="76" spans="1:14" hidden="1" x14ac:dyDescent="0.25">
      <c r="A76" s="39" t="s">
        <v>369</v>
      </c>
      <c r="B76" s="46" t="s">
        <v>245</v>
      </c>
      <c r="C76" s="39" t="s">
        <v>312</v>
      </c>
      <c r="D76" s="142">
        <v>965150785</v>
      </c>
      <c r="E76" s="39" t="s">
        <v>256</v>
      </c>
      <c r="F76" s="81">
        <v>35667</v>
      </c>
      <c r="G76" s="105" t="str">
        <f t="shared" si="2"/>
        <v>Aug</v>
      </c>
      <c r="H76" s="51">
        <f t="shared" ca="1" si="3"/>
        <v>19</v>
      </c>
      <c r="I76" s="52" t="s">
        <v>257</v>
      </c>
      <c r="J76" s="53">
        <v>40920</v>
      </c>
      <c r="K76" s="54">
        <v>4</v>
      </c>
    </row>
    <row r="77" spans="1:14" hidden="1" x14ac:dyDescent="0.25">
      <c r="A77" s="39" t="s">
        <v>317</v>
      </c>
      <c r="B77" s="46" t="s">
        <v>280</v>
      </c>
      <c r="C77" s="39" t="s">
        <v>312</v>
      </c>
      <c r="D77" s="142">
        <v>871044916</v>
      </c>
      <c r="E77" s="39" t="s">
        <v>247</v>
      </c>
      <c r="F77" s="81">
        <v>36038</v>
      </c>
      <c r="G77" s="105" t="str">
        <f t="shared" si="2"/>
        <v>Aug</v>
      </c>
      <c r="H77" s="51">
        <f t="shared" ca="1" si="3"/>
        <v>18</v>
      </c>
      <c r="I77" s="52"/>
      <c r="J77" s="53">
        <v>30340</v>
      </c>
      <c r="K77" s="54">
        <v>3</v>
      </c>
    </row>
    <row r="78" spans="1:14" hidden="1" x14ac:dyDescent="0.25">
      <c r="A78" s="39" t="s">
        <v>341</v>
      </c>
      <c r="B78" s="46" t="s">
        <v>245</v>
      </c>
      <c r="C78" s="39" t="s">
        <v>312</v>
      </c>
      <c r="D78" s="142">
        <v>938922185</v>
      </c>
      <c r="E78" s="39" t="s">
        <v>252</v>
      </c>
      <c r="F78" s="81">
        <v>36059</v>
      </c>
      <c r="G78" s="105" t="str">
        <f t="shared" si="2"/>
        <v>Sep</v>
      </c>
      <c r="H78" s="51">
        <f t="shared" ca="1" si="3"/>
        <v>18</v>
      </c>
      <c r="I78" s="52"/>
      <c r="J78" s="53">
        <v>18500</v>
      </c>
      <c r="K78" s="54">
        <v>5</v>
      </c>
    </row>
    <row r="79" spans="1:14" hidden="1" x14ac:dyDescent="0.25">
      <c r="A79" s="39" t="s">
        <v>334</v>
      </c>
      <c r="B79" s="46" t="s">
        <v>245</v>
      </c>
      <c r="C79" s="39" t="s">
        <v>312</v>
      </c>
      <c r="D79" s="142">
        <v>688525288</v>
      </c>
      <c r="E79" s="39" t="s">
        <v>247</v>
      </c>
      <c r="F79" s="81">
        <v>38970</v>
      </c>
      <c r="G79" s="105" t="str">
        <f t="shared" si="2"/>
        <v>Sep</v>
      </c>
      <c r="H79" s="51">
        <f t="shared" ca="1" si="3"/>
        <v>10</v>
      </c>
      <c r="I79" s="52"/>
      <c r="J79" s="53">
        <v>83070</v>
      </c>
      <c r="K79" s="54">
        <v>3</v>
      </c>
    </row>
    <row r="80" spans="1:14" x14ac:dyDescent="0.25">
      <c r="A80" s="39" t="s">
        <v>351</v>
      </c>
      <c r="B80" s="46" t="s">
        <v>271</v>
      </c>
      <c r="C80" s="39" t="s">
        <v>312</v>
      </c>
      <c r="D80" s="142">
        <v>904366440</v>
      </c>
      <c r="E80" s="39" t="s">
        <v>256</v>
      </c>
      <c r="F80" s="81">
        <v>40085</v>
      </c>
      <c r="G80" s="105" t="str">
        <f t="shared" si="2"/>
        <v>Sep</v>
      </c>
      <c r="H80" s="51">
        <f t="shared" ca="1" si="3"/>
        <v>7</v>
      </c>
      <c r="I80" s="52" t="s">
        <v>257</v>
      </c>
      <c r="J80" s="53">
        <v>41490</v>
      </c>
      <c r="K80" s="54">
        <v>5</v>
      </c>
    </row>
    <row r="81" spans="1:14" x14ac:dyDescent="0.25">
      <c r="A81" s="39" t="s">
        <v>343</v>
      </c>
      <c r="B81" s="46" t="s">
        <v>271</v>
      </c>
      <c r="C81" s="39" t="s">
        <v>312</v>
      </c>
      <c r="D81" s="142">
        <v>579735538</v>
      </c>
      <c r="E81" s="39" t="s">
        <v>256</v>
      </c>
      <c r="F81" s="81">
        <v>33527</v>
      </c>
      <c r="G81" s="105" t="str">
        <f t="shared" si="2"/>
        <v>Oct</v>
      </c>
      <c r="H81" s="51">
        <f t="shared" ca="1" si="3"/>
        <v>25</v>
      </c>
      <c r="I81" s="52" t="s">
        <v>283</v>
      </c>
      <c r="J81" s="53">
        <v>85920</v>
      </c>
      <c r="K81" s="54">
        <v>4</v>
      </c>
    </row>
    <row r="82" spans="1:14" hidden="1" x14ac:dyDescent="0.25">
      <c r="A82" s="39" t="s">
        <v>350</v>
      </c>
      <c r="B82" s="46" t="s">
        <v>285</v>
      </c>
      <c r="C82" s="39" t="s">
        <v>312</v>
      </c>
      <c r="D82" s="142">
        <v>435153305</v>
      </c>
      <c r="E82" s="39" t="s">
        <v>256</v>
      </c>
      <c r="F82" s="81">
        <v>33895</v>
      </c>
      <c r="G82" s="105" t="str">
        <f t="shared" si="2"/>
        <v>Oct</v>
      </c>
      <c r="H82" s="51">
        <f t="shared" ca="1" si="3"/>
        <v>24</v>
      </c>
      <c r="I82" s="52" t="s">
        <v>283</v>
      </c>
      <c r="J82" s="53">
        <v>71670</v>
      </c>
      <c r="K82" s="54">
        <v>4</v>
      </c>
    </row>
    <row r="83" spans="1:14" hidden="1" x14ac:dyDescent="0.25">
      <c r="A83" s="39" t="s">
        <v>321</v>
      </c>
      <c r="B83" s="46" t="s">
        <v>266</v>
      </c>
      <c r="C83" s="39" t="s">
        <v>312</v>
      </c>
      <c r="D83" s="142">
        <v>127814310</v>
      </c>
      <c r="E83" s="39" t="s">
        <v>256</v>
      </c>
      <c r="F83" s="81">
        <v>34996</v>
      </c>
      <c r="G83" s="105" t="str">
        <f t="shared" si="2"/>
        <v>Oct</v>
      </c>
      <c r="H83" s="51">
        <f t="shared" ca="1" si="3"/>
        <v>21</v>
      </c>
      <c r="I83" s="52" t="s">
        <v>257</v>
      </c>
      <c r="J83" s="53">
        <v>67890</v>
      </c>
      <c r="K83" s="54">
        <v>5</v>
      </c>
    </row>
    <row r="84" spans="1:14" hidden="1" x14ac:dyDescent="0.25">
      <c r="A84" s="39" t="s">
        <v>348</v>
      </c>
      <c r="B84" s="46" t="s">
        <v>245</v>
      </c>
      <c r="C84" s="39" t="s">
        <v>312</v>
      </c>
      <c r="D84" s="142">
        <v>477394556</v>
      </c>
      <c r="E84" s="39" t="s">
        <v>247</v>
      </c>
      <c r="F84" s="81">
        <v>36087</v>
      </c>
      <c r="G84" s="105" t="str">
        <f t="shared" si="2"/>
        <v>Oct</v>
      </c>
      <c r="H84" s="51">
        <f t="shared" ca="1" si="3"/>
        <v>18</v>
      </c>
      <c r="I84" s="52"/>
      <c r="J84" s="53">
        <v>76930</v>
      </c>
      <c r="K84" s="54">
        <v>1</v>
      </c>
    </row>
    <row r="85" spans="1:14" x14ac:dyDescent="0.25">
      <c r="A85" s="39" t="s">
        <v>322</v>
      </c>
      <c r="B85" s="46" t="s">
        <v>271</v>
      </c>
      <c r="C85" s="39" t="s">
        <v>312</v>
      </c>
      <c r="D85" s="142">
        <v>305946387</v>
      </c>
      <c r="E85" s="39" t="s">
        <v>256</v>
      </c>
      <c r="F85" s="81">
        <v>37176</v>
      </c>
      <c r="G85" s="105" t="str">
        <f t="shared" si="2"/>
        <v>Oct</v>
      </c>
      <c r="H85" s="51">
        <f t="shared" ca="1" si="3"/>
        <v>15</v>
      </c>
      <c r="I85" s="52" t="s">
        <v>267</v>
      </c>
      <c r="J85" s="53">
        <v>62790</v>
      </c>
      <c r="K85" s="54">
        <v>2</v>
      </c>
    </row>
    <row r="86" spans="1:14" hidden="1" x14ac:dyDescent="0.25">
      <c r="A86" s="39" t="s">
        <v>370</v>
      </c>
      <c r="B86" s="46" t="s">
        <v>285</v>
      </c>
      <c r="C86" s="39" t="s">
        <v>312</v>
      </c>
      <c r="D86" s="142">
        <v>637534888</v>
      </c>
      <c r="E86" s="39" t="s">
        <v>247</v>
      </c>
      <c r="F86" s="81">
        <v>34651</v>
      </c>
      <c r="G86" s="105" t="str">
        <f t="shared" si="2"/>
        <v>Nov</v>
      </c>
      <c r="H86" s="51">
        <f t="shared" ca="1" si="3"/>
        <v>22</v>
      </c>
      <c r="I86" s="52"/>
      <c r="J86" s="53">
        <v>46670</v>
      </c>
      <c r="K86" s="54">
        <v>3</v>
      </c>
    </row>
    <row r="87" spans="1:14" hidden="1" x14ac:dyDescent="0.25">
      <c r="A87" s="39" t="s">
        <v>332</v>
      </c>
      <c r="B87" s="46" t="s">
        <v>245</v>
      </c>
      <c r="C87" s="39" t="s">
        <v>312</v>
      </c>
      <c r="D87" s="142">
        <v>630247971</v>
      </c>
      <c r="E87" s="39" t="s">
        <v>247</v>
      </c>
      <c r="F87" s="81">
        <v>36470</v>
      </c>
      <c r="G87" s="105" t="str">
        <f t="shared" si="2"/>
        <v>Nov</v>
      </c>
      <c r="H87" s="51">
        <f t="shared" ca="1" si="3"/>
        <v>17</v>
      </c>
      <c r="I87" s="52"/>
      <c r="J87" s="53">
        <v>23560</v>
      </c>
      <c r="K87" s="54">
        <v>3</v>
      </c>
    </row>
    <row r="88" spans="1:14" hidden="1" x14ac:dyDescent="0.25">
      <c r="A88" s="39" t="s">
        <v>339</v>
      </c>
      <c r="B88" s="46" t="s">
        <v>245</v>
      </c>
      <c r="C88" s="39" t="s">
        <v>312</v>
      </c>
      <c r="D88" s="142">
        <v>254819974</v>
      </c>
      <c r="E88" s="39" t="s">
        <v>252</v>
      </c>
      <c r="F88" s="81">
        <v>36487</v>
      </c>
      <c r="G88" s="105" t="str">
        <f t="shared" si="2"/>
        <v>Nov</v>
      </c>
      <c r="H88" s="51">
        <f t="shared" ca="1" si="3"/>
        <v>16</v>
      </c>
      <c r="I88" s="52"/>
      <c r="J88" s="53">
        <v>33056</v>
      </c>
      <c r="K88" s="54">
        <v>5</v>
      </c>
    </row>
    <row r="89" spans="1:14" hidden="1" x14ac:dyDescent="0.25">
      <c r="A89" s="39" t="s">
        <v>313</v>
      </c>
      <c r="B89" s="46" t="s">
        <v>245</v>
      </c>
      <c r="C89" s="39" t="s">
        <v>312</v>
      </c>
      <c r="D89" s="142">
        <v>393790481</v>
      </c>
      <c r="E89" s="39" t="s">
        <v>247</v>
      </c>
      <c r="F89" s="81">
        <v>39040</v>
      </c>
      <c r="G89" s="105" t="str">
        <f t="shared" si="2"/>
        <v>Nov</v>
      </c>
      <c r="H89" s="51">
        <f t="shared" ca="1" si="3"/>
        <v>9</v>
      </c>
      <c r="I89" s="52"/>
      <c r="J89" s="53">
        <v>62150</v>
      </c>
      <c r="K89" s="54">
        <v>4</v>
      </c>
    </row>
    <row r="90" spans="1:14" x14ac:dyDescent="0.25">
      <c r="A90" s="39" t="s">
        <v>320</v>
      </c>
      <c r="B90" s="46" t="s">
        <v>271</v>
      </c>
      <c r="C90" s="39" t="s">
        <v>312</v>
      </c>
      <c r="D90" s="142">
        <v>140791356</v>
      </c>
      <c r="E90" s="39" t="s">
        <v>256</v>
      </c>
      <c r="F90" s="81">
        <v>40501</v>
      </c>
      <c r="G90" s="105" t="str">
        <f t="shared" si="2"/>
        <v>Nov</v>
      </c>
      <c r="H90" s="51">
        <f t="shared" ca="1" si="3"/>
        <v>5</v>
      </c>
      <c r="I90" s="52" t="s">
        <v>267</v>
      </c>
      <c r="J90" s="53">
        <v>77820</v>
      </c>
      <c r="K90" s="54">
        <v>3</v>
      </c>
    </row>
    <row r="91" spans="1:14" x14ac:dyDescent="0.25">
      <c r="A91" s="39" t="s">
        <v>324</v>
      </c>
      <c r="B91" s="46" t="s">
        <v>271</v>
      </c>
      <c r="C91" s="39" t="s">
        <v>312</v>
      </c>
      <c r="D91" s="142">
        <v>841728513</v>
      </c>
      <c r="E91" s="39" t="s">
        <v>247</v>
      </c>
      <c r="F91" s="81">
        <v>33228</v>
      </c>
      <c r="G91" s="105" t="str">
        <f t="shared" si="2"/>
        <v>Dec</v>
      </c>
      <c r="H91" s="51">
        <f t="shared" ca="1" si="3"/>
        <v>25</v>
      </c>
      <c r="I91" s="52"/>
      <c r="J91" s="53">
        <v>42940</v>
      </c>
      <c r="K91" s="54">
        <v>1</v>
      </c>
    </row>
    <row r="92" spans="1:14" x14ac:dyDescent="0.25">
      <c r="A92" s="39" t="s">
        <v>327</v>
      </c>
      <c r="B92" s="46" t="s">
        <v>271</v>
      </c>
      <c r="C92" s="39" t="s">
        <v>312</v>
      </c>
      <c r="D92" s="142">
        <v>530627144</v>
      </c>
      <c r="E92" s="39" t="s">
        <v>256</v>
      </c>
      <c r="F92" s="81">
        <v>33575</v>
      </c>
      <c r="G92" s="105" t="str">
        <f t="shared" si="2"/>
        <v>Dec</v>
      </c>
      <c r="H92" s="51">
        <f t="shared" ca="1" si="3"/>
        <v>24</v>
      </c>
      <c r="I92" s="52" t="s">
        <v>262</v>
      </c>
      <c r="J92" s="53">
        <v>61400</v>
      </c>
      <c r="K92" s="54">
        <v>5</v>
      </c>
    </row>
    <row r="93" spans="1:14" hidden="1" x14ac:dyDescent="0.25">
      <c r="A93" s="39" t="s">
        <v>316</v>
      </c>
      <c r="B93" s="46" t="s">
        <v>285</v>
      </c>
      <c r="C93" s="39" t="s">
        <v>312</v>
      </c>
      <c r="D93" s="142">
        <v>839253160</v>
      </c>
      <c r="E93" s="39" t="s">
        <v>256</v>
      </c>
      <c r="F93" s="81">
        <v>36506</v>
      </c>
      <c r="G93" s="105" t="str">
        <f t="shared" si="2"/>
        <v>Dec</v>
      </c>
      <c r="H93" s="51">
        <f t="shared" ca="1" si="3"/>
        <v>16</v>
      </c>
      <c r="I93" s="52" t="s">
        <v>283</v>
      </c>
      <c r="J93" s="53">
        <v>32100</v>
      </c>
      <c r="K93" s="54">
        <v>1</v>
      </c>
      <c r="N93" s="75"/>
    </row>
    <row r="94" spans="1:14" x14ac:dyDescent="0.25">
      <c r="A94" s="39" t="s">
        <v>337</v>
      </c>
      <c r="B94" s="46" t="s">
        <v>271</v>
      </c>
      <c r="C94" s="39" t="s">
        <v>312</v>
      </c>
      <c r="D94" s="142">
        <v>680390162</v>
      </c>
      <c r="E94" s="39" t="s">
        <v>256</v>
      </c>
      <c r="F94" s="81">
        <v>37241</v>
      </c>
      <c r="G94" s="105" t="str">
        <f t="shared" si="2"/>
        <v>Dec</v>
      </c>
      <c r="H94" s="51">
        <f t="shared" ca="1" si="3"/>
        <v>14</v>
      </c>
      <c r="I94" s="52" t="s">
        <v>257</v>
      </c>
      <c r="J94" s="53">
        <v>71950</v>
      </c>
      <c r="K94" s="54">
        <v>5</v>
      </c>
    </row>
    <row r="95" spans="1:14" hidden="1" x14ac:dyDescent="0.25">
      <c r="A95" s="39" t="s">
        <v>311</v>
      </c>
      <c r="B95" s="46" t="s">
        <v>245</v>
      </c>
      <c r="C95" s="39" t="s">
        <v>312</v>
      </c>
      <c r="D95" s="142">
        <v>125383324</v>
      </c>
      <c r="E95" s="39" t="s">
        <v>256</v>
      </c>
      <c r="F95" s="81">
        <v>37960</v>
      </c>
      <c r="G95" s="105" t="str">
        <f t="shared" si="2"/>
        <v>Dec</v>
      </c>
      <c r="H95" s="51">
        <f t="shared" ca="1" si="3"/>
        <v>12</v>
      </c>
      <c r="I95" s="52" t="s">
        <v>257</v>
      </c>
      <c r="J95" s="53">
        <v>66890</v>
      </c>
      <c r="K95" s="54">
        <v>5</v>
      </c>
    </row>
    <row r="96" spans="1:14" hidden="1" x14ac:dyDescent="0.25">
      <c r="A96" s="39" t="s">
        <v>362</v>
      </c>
      <c r="B96" s="46" t="s">
        <v>266</v>
      </c>
      <c r="C96" s="39" t="s">
        <v>312</v>
      </c>
      <c r="D96" s="142">
        <v>305864390</v>
      </c>
      <c r="E96" s="39" t="s">
        <v>261</v>
      </c>
      <c r="F96" s="81">
        <v>39802</v>
      </c>
      <c r="G96" s="105" t="str">
        <f t="shared" si="2"/>
        <v>Dec</v>
      </c>
      <c r="H96" s="51">
        <f t="shared" ca="1" si="3"/>
        <v>7</v>
      </c>
      <c r="I96" s="52" t="s">
        <v>276</v>
      </c>
      <c r="J96" s="53">
        <v>22535</v>
      </c>
      <c r="K96" s="54">
        <v>3</v>
      </c>
    </row>
    <row r="97" spans="1:14" x14ac:dyDescent="0.25">
      <c r="A97" s="39" t="s">
        <v>373</v>
      </c>
      <c r="B97" s="46" t="s">
        <v>271</v>
      </c>
      <c r="C97" s="39" t="s">
        <v>372</v>
      </c>
      <c r="D97" s="142">
        <v>278532524</v>
      </c>
      <c r="E97" s="39" t="s">
        <v>256</v>
      </c>
      <c r="F97" s="81">
        <v>38397</v>
      </c>
      <c r="G97" s="105" t="str">
        <f t="shared" si="2"/>
        <v>Feb</v>
      </c>
      <c r="H97" s="51">
        <f t="shared" ca="1" si="3"/>
        <v>11</v>
      </c>
      <c r="I97" s="52" t="s">
        <v>257</v>
      </c>
      <c r="J97" s="53">
        <v>36630</v>
      </c>
      <c r="K97" s="54">
        <v>4</v>
      </c>
    </row>
    <row r="98" spans="1:14" hidden="1" x14ac:dyDescent="0.25">
      <c r="A98" s="39" t="s">
        <v>374</v>
      </c>
      <c r="B98" s="46" t="s">
        <v>285</v>
      </c>
      <c r="C98" s="39" t="s">
        <v>372</v>
      </c>
      <c r="D98" s="142">
        <v>530077758</v>
      </c>
      <c r="E98" s="39" t="s">
        <v>247</v>
      </c>
      <c r="F98" s="81">
        <v>38755</v>
      </c>
      <c r="G98" s="105" t="str">
        <f t="shared" si="2"/>
        <v>Feb</v>
      </c>
      <c r="H98" s="51">
        <f t="shared" ca="1" si="3"/>
        <v>10</v>
      </c>
      <c r="I98" s="52"/>
      <c r="J98" s="53">
        <v>78860</v>
      </c>
      <c r="K98" s="54">
        <v>2</v>
      </c>
    </row>
    <row r="99" spans="1:14" x14ac:dyDescent="0.25">
      <c r="A99" s="39" t="s">
        <v>377</v>
      </c>
      <c r="B99" s="46" t="s">
        <v>271</v>
      </c>
      <c r="C99" s="39" t="s">
        <v>372</v>
      </c>
      <c r="D99" s="142">
        <v>303231204</v>
      </c>
      <c r="E99" s="39" t="s">
        <v>247</v>
      </c>
      <c r="F99" s="81">
        <v>39529</v>
      </c>
      <c r="G99" s="105" t="str">
        <f t="shared" si="2"/>
        <v>Mar</v>
      </c>
      <c r="H99" s="51">
        <f t="shared" ca="1" si="3"/>
        <v>8</v>
      </c>
      <c r="I99" s="52"/>
      <c r="J99" s="53">
        <v>35620</v>
      </c>
      <c r="K99" s="54">
        <v>4</v>
      </c>
    </row>
    <row r="100" spans="1:14" hidden="1" x14ac:dyDescent="0.25">
      <c r="A100" s="39" t="s">
        <v>378</v>
      </c>
      <c r="B100" s="46" t="s">
        <v>285</v>
      </c>
      <c r="C100" s="39" t="s">
        <v>372</v>
      </c>
      <c r="D100" s="142">
        <v>727350623</v>
      </c>
      <c r="E100" s="39" t="s">
        <v>247</v>
      </c>
      <c r="F100" s="103">
        <v>40253</v>
      </c>
      <c r="G100" s="105" t="str">
        <f t="shared" si="2"/>
        <v>Mar</v>
      </c>
      <c r="H100" s="51">
        <f t="shared" ca="1" si="3"/>
        <v>6</v>
      </c>
      <c r="I100" s="52"/>
      <c r="J100" s="53">
        <v>59350</v>
      </c>
      <c r="K100" s="54">
        <v>5</v>
      </c>
    </row>
    <row r="101" spans="1:14" hidden="1" x14ac:dyDescent="0.25">
      <c r="A101" s="39" t="s">
        <v>376</v>
      </c>
      <c r="B101" s="46" t="s">
        <v>285</v>
      </c>
      <c r="C101" s="39" t="s">
        <v>372</v>
      </c>
      <c r="D101" s="142">
        <v>842985832</v>
      </c>
      <c r="E101" s="39" t="s">
        <v>256</v>
      </c>
      <c r="F101" s="81">
        <v>39923</v>
      </c>
      <c r="G101" s="105" t="str">
        <f t="shared" si="2"/>
        <v>Apr</v>
      </c>
      <c r="H101" s="51">
        <f t="shared" ca="1" si="3"/>
        <v>7</v>
      </c>
      <c r="I101" s="52" t="s">
        <v>257</v>
      </c>
      <c r="J101" s="53">
        <v>76440</v>
      </c>
      <c r="K101" s="54">
        <v>3</v>
      </c>
    </row>
    <row r="102" spans="1:14" hidden="1" x14ac:dyDescent="0.25">
      <c r="A102" s="39" t="s">
        <v>375</v>
      </c>
      <c r="B102" s="46" t="s">
        <v>285</v>
      </c>
      <c r="C102" s="39" t="s">
        <v>372</v>
      </c>
      <c r="D102" s="142">
        <v>958318248</v>
      </c>
      <c r="E102" s="39" t="s">
        <v>256</v>
      </c>
      <c r="F102" s="81">
        <v>37883</v>
      </c>
      <c r="G102" s="105" t="str">
        <f t="shared" si="2"/>
        <v>Sep</v>
      </c>
      <c r="H102" s="51">
        <f t="shared" ca="1" si="3"/>
        <v>13</v>
      </c>
      <c r="I102" s="52" t="s">
        <v>257</v>
      </c>
      <c r="J102" s="53">
        <v>86530</v>
      </c>
      <c r="K102" s="54">
        <v>1</v>
      </c>
    </row>
    <row r="103" spans="1:14" hidden="1" x14ac:dyDescent="0.25">
      <c r="A103" s="39" t="s">
        <v>379</v>
      </c>
      <c r="B103" s="46" t="s">
        <v>280</v>
      </c>
      <c r="C103" s="39" t="s">
        <v>372</v>
      </c>
      <c r="D103" s="142">
        <v>539542451</v>
      </c>
      <c r="E103" s="39" t="s">
        <v>256</v>
      </c>
      <c r="F103" s="81">
        <v>39388</v>
      </c>
      <c r="G103" s="105" t="str">
        <f t="shared" si="2"/>
        <v>Nov</v>
      </c>
      <c r="H103" s="51">
        <f t="shared" ca="1" si="3"/>
        <v>9</v>
      </c>
      <c r="I103" s="52" t="s">
        <v>257</v>
      </c>
      <c r="J103" s="53">
        <v>71120</v>
      </c>
      <c r="K103" s="54">
        <v>4</v>
      </c>
    </row>
    <row r="104" spans="1:14" hidden="1" x14ac:dyDescent="0.25">
      <c r="A104" s="39" t="s">
        <v>371</v>
      </c>
      <c r="B104" s="46" t="s">
        <v>251</v>
      </c>
      <c r="C104" s="39" t="s">
        <v>372</v>
      </c>
      <c r="D104" s="142">
        <v>357927834</v>
      </c>
      <c r="E104" s="39" t="s">
        <v>261</v>
      </c>
      <c r="F104" s="103">
        <v>40505</v>
      </c>
      <c r="G104" s="105" t="str">
        <f t="shared" si="2"/>
        <v>Nov</v>
      </c>
      <c r="H104" s="51">
        <f t="shared" ca="1" si="3"/>
        <v>5</v>
      </c>
      <c r="I104" s="52" t="s">
        <v>283</v>
      </c>
      <c r="J104" s="53">
        <v>46230</v>
      </c>
      <c r="K104" s="54">
        <v>2</v>
      </c>
      <c r="N104" s="75"/>
    </row>
    <row r="105" spans="1:14" x14ac:dyDescent="0.25">
      <c r="A105" s="39" t="s">
        <v>389</v>
      </c>
      <c r="B105" s="46" t="s">
        <v>271</v>
      </c>
      <c r="C105" s="39" t="s">
        <v>381</v>
      </c>
      <c r="D105" s="142">
        <v>524284947</v>
      </c>
      <c r="E105" s="39" t="s">
        <v>256</v>
      </c>
      <c r="F105" s="81">
        <v>35449</v>
      </c>
      <c r="G105" s="105" t="str">
        <f t="shared" si="2"/>
        <v>Jan</v>
      </c>
      <c r="H105" s="51">
        <f t="shared" ca="1" si="3"/>
        <v>19</v>
      </c>
      <c r="I105" s="52" t="s">
        <v>283</v>
      </c>
      <c r="J105" s="53">
        <v>22920</v>
      </c>
      <c r="K105" s="54">
        <v>3</v>
      </c>
    </row>
    <row r="106" spans="1:14" hidden="1" x14ac:dyDescent="0.25">
      <c r="A106" s="39" t="s">
        <v>383</v>
      </c>
      <c r="B106" s="46" t="s">
        <v>280</v>
      </c>
      <c r="C106" s="39" t="s">
        <v>381</v>
      </c>
      <c r="D106" s="142">
        <v>979361880</v>
      </c>
      <c r="E106" s="39" t="s">
        <v>256</v>
      </c>
      <c r="F106" s="81">
        <v>36182</v>
      </c>
      <c r="G106" s="105" t="str">
        <f t="shared" si="2"/>
        <v>Jan</v>
      </c>
      <c r="H106" s="51">
        <f t="shared" ca="1" si="3"/>
        <v>17</v>
      </c>
      <c r="I106" s="52" t="s">
        <v>283</v>
      </c>
      <c r="J106" s="53">
        <v>68300</v>
      </c>
      <c r="K106" s="54">
        <v>5</v>
      </c>
    </row>
    <row r="107" spans="1:14" hidden="1" x14ac:dyDescent="0.25">
      <c r="A107" s="39" t="s">
        <v>380</v>
      </c>
      <c r="B107" s="46" t="s">
        <v>285</v>
      </c>
      <c r="C107" s="39" t="s">
        <v>381</v>
      </c>
      <c r="D107" s="142">
        <v>453764262</v>
      </c>
      <c r="E107" s="39" t="s">
        <v>261</v>
      </c>
      <c r="F107" s="81">
        <v>40572</v>
      </c>
      <c r="G107" s="105" t="str">
        <f t="shared" si="2"/>
        <v>Jan</v>
      </c>
      <c r="H107" s="51">
        <f t="shared" ca="1" si="3"/>
        <v>5</v>
      </c>
      <c r="I107" s="52" t="s">
        <v>283</v>
      </c>
      <c r="J107" s="53">
        <v>10520</v>
      </c>
      <c r="K107" s="54">
        <v>4</v>
      </c>
      <c r="N107" s="75"/>
    </row>
    <row r="108" spans="1:14" hidden="1" x14ac:dyDescent="0.25">
      <c r="A108" s="39" t="s">
        <v>386</v>
      </c>
      <c r="B108" s="46" t="s">
        <v>266</v>
      </c>
      <c r="C108" s="39" t="s">
        <v>381</v>
      </c>
      <c r="D108" s="142">
        <v>493786564</v>
      </c>
      <c r="E108" s="39" t="s">
        <v>256</v>
      </c>
      <c r="F108" s="81">
        <v>35514</v>
      </c>
      <c r="G108" s="105" t="str">
        <f t="shared" si="2"/>
        <v>Mar</v>
      </c>
      <c r="H108" s="51">
        <f t="shared" ca="1" si="3"/>
        <v>19</v>
      </c>
      <c r="I108" s="52" t="s">
        <v>267</v>
      </c>
      <c r="J108" s="53">
        <v>26510</v>
      </c>
      <c r="K108" s="54">
        <v>1</v>
      </c>
    </row>
    <row r="109" spans="1:14" x14ac:dyDescent="0.25">
      <c r="A109" s="39" t="s">
        <v>382</v>
      </c>
      <c r="B109" s="46" t="s">
        <v>271</v>
      </c>
      <c r="C109" s="39" t="s">
        <v>381</v>
      </c>
      <c r="D109" s="142">
        <v>488770022</v>
      </c>
      <c r="E109" s="39" t="s">
        <v>256</v>
      </c>
      <c r="F109" s="81">
        <v>36249</v>
      </c>
      <c r="G109" s="105" t="str">
        <f t="shared" si="2"/>
        <v>Mar</v>
      </c>
      <c r="H109" s="51">
        <f t="shared" ca="1" si="3"/>
        <v>17</v>
      </c>
      <c r="I109" s="52" t="s">
        <v>257</v>
      </c>
      <c r="J109" s="53">
        <v>49860</v>
      </c>
      <c r="K109" s="54">
        <v>2</v>
      </c>
    </row>
    <row r="110" spans="1:14" hidden="1" x14ac:dyDescent="0.25">
      <c r="A110" s="39" t="s">
        <v>387</v>
      </c>
      <c r="B110" s="46" t="s">
        <v>285</v>
      </c>
      <c r="C110" s="39" t="s">
        <v>381</v>
      </c>
      <c r="D110" s="142">
        <v>268336939</v>
      </c>
      <c r="E110" s="39" t="s">
        <v>256</v>
      </c>
      <c r="F110" s="81">
        <v>39147</v>
      </c>
      <c r="G110" s="105" t="str">
        <f t="shared" si="2"/>
        <v>Mar</v>
      </c>
      <c r="H110" s="51">
        <f t="shared" ca="1" si="3"/>
        <v>9</v>
      </c>
      <c r="I110" s="52" t="s">
        <v>283</v>
      </c>
      <c r="J110" s="53">
        <v>43680</v>
      </c>
      <c r="K110" s="54">
        <v>5</v>
      </c>
    </row>
    <row r="111" spans="1:14" x14ac:dyDescent="0.25">
      <c r="A111" s="39" t="s">
        <v>385</v>
      </c>
      <c r="B111" s="46" t="s">
        <v>271</v>
      </c>
      <c r="C111" s="39" t="s">
        <v>381</v>
      </c>
      <c r="D111" s="142">
        <v>752763265</v>
      </c>
      <c r="E111" s="39" t="s">
        <v>252</v>
      </c>
      <c r="F111" s="103">
        <v>40313</v>
      </c>
      <c r="G111" s="105" t="str">
        <f t="shared" si="2"/>
        <v>May</v>
      </c>
      <c r="H111" s="51">
        <f t="shared" ca="1" si="3"/>
        <v>6</v>
      </c>
      <c r="I111" s="52"/>
      <c r="J111" s="53">
        <v>27484</v>
      </c>
      <c r="K111" s="54">
        <v>4</v>
      </c>
      <c r="N111" s="75"/>
    </row>
    <row r="112" spans="1:14" hidden="1" x14ac:dyDescent="0.25">
      <c r="A112" s="39" t="s">
        <v>388</v>
      </c>
      <c r="B112" s="46" t="s">
        <v>285</v>
      </c>
      <c r="C112" s="39" t="s">
        <v>381</v>
      </c>
      <c r="D112" s="142">
        <v>699160893</v>
      </c>
      <c r="E112" s="39" t="s">
        <v>256</v>
      </c>
      <c r="F112" s="81">
        <v>33071</v>
      </c>
      <c r="G112" s="105" t="str">
        <f t="shared" si="2"/>
        <v>Jul</v>
      </c>
      <c r="H112" s="51">
        <f t="shared" ca="1" si="3"/>
        <v>26</v>
      </c>
      <c r="I112" s="52" t="s">
        <v>283</v>
      </c>
      <c r="J112" s="53">
        <v>69060</v>
      </c>
      <c r="K112" s="54">
        <v>1</v>
      </c>
    </row>
    <row r="113" spans="1:14" x14ac:dyDescent="0.25">
      <c r="A113" s="39" t="s">
        <v>384</v>
      </c>
      <c r="B113" s="46" t="s">
        <v>271</v>
      </c>
      <c r="C113" s="39" t="s">
        <v>381</v>
      </c>
      <c r="D113" s="142">
        <v>671177166</v>
      </c>
      <c r="E113" s="39" t="s">
        <v>261</v>
      </c>
      <c r="F113" s="103">
        <v>40516</v>
      </c>
      <c r="G113" s="105" t="str">
        <f t="shared" si="2"/>
        <v>Dec</v>
      </c>
      <c r="H113" s="51">
        <f t="shared" ca="1" si="3"/>
        <v>5</v>
      </c>
      <c r="I113" s="52" t="s">
        <v>283</v>
      </c>
      <c r="J113" s="53">
        <v>28625</v>
      </c>
      <c r="K113" s="54">
        <v>1</v>
      </c>
      <c r="N113" s="75"/>
    </row>
    <row r="114" spans="1:14" hidden="1" x14ac:dyDescent="0.25">
      <c r="A114" s="39" t="s">
        <v>392</v>
      </c>
      <c r="B114" s="46" t="s">
        <v>251</v>
      </c>
      <c r="C114" s="39" t="s">
        <v>391</v>
      </c>
      <c r="D114" s="142">
        <v>582737704</v>
      </c>
      <c r="E114" s="39" t="s">
        <v>247</v>
      </c>
      <c r="F114" s="81">
        <v>33245</v>
      </c>
      <c r="G114" s="105" t="str">
        <f t="shared" si="2"/>
        <v>Jan</v>
      </c>
      <c r="H114" s="51">
        <f t="shared" ca="1" si="3"/>
        <v>25</v>
      </c>
      <c r="I114" s="52"/>
      <c r="J114" s="53">
        <v>80050</v>
      </c>
      <c r="K114" s="54">
        <v>2</v>
      </c>
    </row>
    <row r="115" spans="1:14" x14ac:dyDescent="0.25">
      <c r="A115" s="39" t="s">
        <v>390</v>
      </c>
      <c r="B115" s="46" t="s">
        <v>271</v>
      </c>
      <c r="C115" s="39" t="s">
        <v>391</v>
      </c>
      <c r="D115" s="142">
        <v>337022977</v>
      </c>
      <c r="E115" s="39" t="s">
        <v>256</v>
      </c>
      <c r="F115" s="81">
        <v>33613</v>
      </c>
      <c r="G115" s="105" t="str">
        <f t="shared" si="2"/>
        <v>Jan</v>
      </c>
      <c r="H115" s="51">
        <f t="shared" ca="1" si="3"/>
        <v>24</v>
      </c>
      <c r="I115" s="52" t="s">
        <v>267</v>
      </c>
      <c r="J115" s="53">
        <v>82500</v>
      </c>
      <c r="K115" s="54">
        <v>5</v>
      </c>
    </row>
    <row r="116" spans="1:14" hidden="1" x14ac:dyDescent="0.25">
      <c r="A116" s="39" t="s">
        <v>400</v>
      </c>
      <c r="B116" s="46" t="s">
        <v>285</v>
      </c>
      <c r="C116" s="39" t="s">
        <v>391</v>
      </c>
      <c r="D116" s="142">
        <v>113339444</v>
      </c>
      <c r="E116" s="39" t="s">
        <v>261</v>
      </c>
      <c r="F116" s="81">
        <v>33994</v>
      </c>
      <c r="G116" s="105" t="str">
        <f t="shared" si="2"/>
        <v>Jan</v>
      </c>
      <c r="H116" s="51">
        <f t="shared" ca="1" si="3"/>
        <v>23</v>
      </c>
      <c r="I116" s="52" t="s">
        <v>276</v>
      </c>
      <c r="J116" s="53">
        <v>18655</v>
      </c>
      <c r="K116" s="54">
        <v>4</v>
      </c>
    </row>
    <row r="117" spans="1:14" hidden="1" x14ac:dyDescent="0.25">
      <c r="A117" s="39" t="s">
        <v>399</v>
      </c>
      <c r="B117" s="46" t="s">
        <v>251</v>
      </c>
      <c r="C117" s="39" t="s">
        <v>391</v>
      </c>
      <c r="D117" s="142">
        <v>149034731</v>
      </c>
      <c r="E117" s="39" t="s">
        <v>247</v>
      </c>
      <c r="F117" s="81">
        <v>36176</v>
      </c>
      <c r="G117" s="105" t="str">
        <f t="shared" si="2"/>
        <v>Jan</v>
      </c>
      <c r="H117" s="51">
        <f t="shared" ca="1" si="3"/>
        <v>17</v>
      </c>
      <c r="I117" s="52"/>
      <c r="J117" s="53">
        <v>32940</v>
      </c>
      <c r="K117" s="54">
        <v>5</v>
      </c>
    </row>
    <row r="118" spans="1:14" hidden="1" x14ac:dyDescent="0.25">
      <c r="A118" s="39" t="s">
        <v>396</v>
      </c>
      <c r="B118" s="46" t="s">
        <v>266</v>
      </c>
      <c r="C118" s="39" t="s">
        <v>391</v>
      </c>
      <c r="D118" s="142">
        <v>808189747</v>
      </c>
      <c r="E118" s="39" t="s">
        <v>256</v>
      </c>
      <c r="F118" s="81">
        <v>35487</v>
      </c>
      <c r="G118" s="105" t="str">
        <f t="shared" si="2"/>
        <v>Feb</v>
      </c>
      <c r="H118" s="51">
        <f t="shared" ca="1" si="3"/>
        <v>19</v>
      </c>
      <c r="I118" s="52" t="s">
        <v>257</v>
      </c>
      <c r="J118" s="53">
        <v>80120</v>
      </c>
      <c r="K118" s="54">
        <v>4</v>
      </c>
    </row>
    <row r="119" spans="1:14" hidden="1" x14ac:dyDescent="0.25">
      <c r="A119" s="39" t="s">
        <v>394</v>
      </c>
      <c r="B119" s="46" t="s">
        <v>280</v>
      </c>
      <c r="C119" s="39" t="s">
        <v>391</v>
      </c>
      <c r="D119" s="142">
        <v>837921626</v>
      </c>
      <c r="E119" s="39" t="s">
        <v>247</v>
      </c>
      <c r="F119" s="81">
        <v>37667</v>
      </c>
      <c r="G119" s="105" t="str">
        <f t="shared" si="2"/>
        <v>Feb</v>
      </c>
      <c r="H119" s="51">
        <f t="shared" ca="1" si="3"/>
        <v>13</v>
      </c>
      <c r="I119" s="52"/>
      <c r="J119" s="53">
        <v>73390</v>
      </c>
      <c r="K119" s="54">
        <v>2</v>
      </c>
    </row>
    <row r="120" spans="1:14" hidden="1" x14ac:dyDescent="0.25">
      <c r="A120" s="39" t="s">
        <v>406</v>
      </c>
      <c r="B120" s="46" t="s">
        <v>245</v>
      </c>
      <c r="C120" s="39" t="s">
        <v>391</v>
      </c>
      <c r="D120" s="142">
        <v>466266002</v>
      </c>
      <c r="E120" s="39" t="s">
        <v>247</v>
      </c>
      <c r="F120" s="81">
        <v>35150</v>
      </c>
      <c r="G120" s="105" t="str">
        <f t="shared" si="2"/>
        <v>Mar</v>
      </c>
      <c r="H120" s="51">
        <f t="shared" ca="1" si="3"/>
        <v>20</v>
      </c>
      <c r="I120" s="52"/>
      <c r="J120" s="53">
        <v>35260</v>
      </c>
      <c r="K120" s="54">
        <v>2</v>
      </c>
    </row>
    <row r="121" spans="1:14" hidden="1" x14ac:dyDescent="0.25">
      <c r="A121" s="39" t="s">
        <v>409</v>
      </c>
      <c r="B121" s="46" t="s">
        <v>285</v>
      </c>
      <c r="C121" s="39" t="s">
        <v>391</v>
      </c>
      <c r="D121" s="142">
        <v>296063951</v>
      </c>
      <c r="E121" s="39" t="s">
        <v>256</v>
      </c>
      <c r="F121" s="81">
        <v>36269</v>
      </c>
      <c r="G121" s="105" t="str">
        <f t="shared" si="2"/>
        <v>Apr</v>
      </c>
      <c r="H121" s="51">
        <f t="shared" ca="1" si="3"/>
        <v>17</v>
      </c>
      <c r="I121" s="52" t="s">
        <v>283</v>
      </c>
      <c r="J121" s="53">
        <v>61330</v>
      </c>
      <c r="K121" s="54">
        <v>1</v>
      </c>
    </row>
    <row r="122" spans="1:14" x14ac:dyDescent="0.25">
      <c r="A122" s="39" t="s">
        <v>407</v>
      </c>
      <c r="B122" s="46" t="s">
        <v>271</v>
      </c>
      <c r="C122" s="39" t="s">
        <v>391</v>
      </c>
      <c r="D122" s="142">
        <v>296623656</v>
      </c>
      <c r="E122" s="39" t="s">
        <v>247</v>
      </c>
      <c r="F122" s="81">
        <v>35959</v>
      </c>
      <c r="G122" s="105" t="str">
        <f t="shared" si="2"/>
        <v>Jun</v>
      </c>
      <c r="H122" s="51">
        <f t="shared" ca="1" si="3"/>
        <v>18</v>
      </c>
      <c r="I122" s="52"/>
      <c r="J122" s="53">
        <v>64470</v>
      </c>
      <c r="K122" s="54">
        <v>3</v>
      </c>
    </row>
    <row r="123" spans="1:14" hidden="1" x14ac:dyDescent="0.25">
      <c r="A123" s="39" t="s">
        <v>405</v>
      </c>
      <c r="B123" s="46" t="s">
        <v>245</v>
      </c>
      <c r="C123" s="39" t="s">
        <v>391</v>
      </c>
      <c r="D123" s="142">
        <v>252749648</v>
      </c>
      <c r="E123" s="39" t="s">
        <v>256</v>
      </c>
      <c r="F123" s="81">
        <v>33447</v>
      </c>
      <c r="G123" s="105" t="str">
        <f t="shared" si="2"/>
        <v>Jul</v>
      </c>
      <c r="H123" s="51">
        <f t="shared" ca="1" si="3"/>
        <v>25</v>
      </c>
      <c r="I123" s="52" t="s">
        <v>283</v>
      </c>
      <c r="J123" s="53">
        <v>37620</v>
      </c>
      <c r="K123" s="54">
        <v>5</v>
      </c>
      <c r="M123" s="63"/>
      <c r="N123" s="75"/>
    </row>
    <row r="124" spans="1:14" hidden="1" x14ac:dyDescent="0.25">
      <c r="A124" s="39" t="s">
        <v>393</v>
      </c>
      <c r="B124" s="46" t="s">
        <v>266</v>
      </c>
      <c r="C124" s="39" t="s">
        <v>391</v>
      </c>
      <c r="D124" s="142">
        <v>233987885</v>
      </c>
      <c r="E124" s="39" t="s">
        <v>247</v>
      </c>
      <c r="F124" s="81">
        <v>36342</v>
      </c>
      <c r="G124" s="105" t="str">
        <f t="shared" si="2"/>
        <v>Jul</v>
      </c>
      <c r="H124" s="51">
        <f t="shared" ca="1" si="3"/>
        <v>17</v>
      </c>
      <c r="I124" s="52"/>
      <c r="J124" s="53">
        <v>86970</v>
      </c>
      <c r="K124" s="54">
        <v>4</v>
      </c>
    </row>
    <row r="125" spans="1:14" x14ac:dyDescent="0.25">
      <c r="A125" s="39" t="s">
        <v>408</v>
      </c>
      <c r="B125" s="46" t="s">
        <v>271</v>
      </c>
      <c r="C125" s="39" t="s">
        <v>391</v>
      </c>
      <c r="D125" s="142">
        <v>740477572</v>
      </c>
      <c r="E125" s="39" t="s">
        <v>261</v>
      </c>
      <c r="F125" s="81">
        <v>36357</v>
      </c>
      <c r="G125" s="105" t="str">
        <f t="shared" si="2"/>
        <v>Jul</v>
      </c>
      <c r="H125" s="51">
        <f t="shared" ca="1" si="3"/>
        <v>17</v>
      </c>
      <c r="I125" s="52" t="s">
        <v>276</v>
      </c>
      <c r="J125" s="53">
        <v>42905</v>
      </c>
      <c r="K125" s="54">
        <v>1</v>
      </c>
    </row>
    <row r="126" spans="1:14" hidden="1" x14ac:dyDescent="0.25">
      <c r="A126" s="39" t="s">
        <v>398</v>
      </c>
      <c r="B126" s="46" t="s">
        <v>285</v>
      </c>
      <c r="C126" s="39" t="s">
        <v>391</v>
      </c>
      <c r="D126" s="142">
        <v>155232477</v>
      </c>
      <c r="E126" s="39" t="s">
        <v>256</v>
      </c>
      <c r="F126" s="81">
        <v>33823</v>
      </c>
      <c r="G126" s="105" t="str">
        <f t="shared" si="2"/>
        <v>Aug</v>
      </c>
      <c r="H126" s="51">
        <f t="shared" ca="1" si="3"/>
        <v>24</v>
      </c>
      <c r="I126" s="52" t="s">
        <v>283</v>
      </c>
      <c r="J126" s="53">
        <v>82760</v>
      </c>
      <c r="K126" s="54">
        <v>4</v>
      </c>
    </row>
    <row r="127" spans="1:14" hidden="1" x14ac:dyDescent="0.25">
      <c r="A127" s="39" t="s">
        <v>404</v>
      </c>
      <c r="B127" s="46" t="s">
        <v>285</v>
      </c>
      <c r="C127" s="39" t="s">
        <v>391</v>
      </c>
      <c r="D127" s="142">
        <v>943835902</v>
      </c>
      <c r="E127" s="39" t="s">
        <v>252</v>
      </c>
      <c r="F127" s="81">
        <v>35673</v>
      </c>
      <c r="G127" s="105" t="str">
        <f t="shared" si="2"/>
        <v>Aug</v>
      </c>
      <c r="H127" s="51">
        <f t="shared" ca="1" si="3"/>
        <v>19</v>
      </c>
      <c r="I127" s="52"/>
      <c r="J127" s="53">
        <v>12676</v>
      </c>
      <c r="K127" s="54">
        <v>2</v>
      </c>
    </row>
    <row r="128" spans="1:14" x14ac:dyDescent="0.25">
      <c r="A128" s="39" t="s">
        <v>402</v>
      </c>
      <c r="B128" s="46" t="s">
        <v>271</v>
      </c>
      <c r="C128" s="39" t="s">
        <v>391</v>
      </c>
      <c r="D128" s="142">
        <v>553874787</v>
      </c>
      <c r="E128" s="39" t="s">
        <v>256</v>
      </c>
      <c r="F128" s="81">
        <v>37113</v>
      </c>
      <c r="G128" s="105" t="str">
        <f t="shared" si="2"/>
        <v>Aug</v>
      </c>
      <c r="H128" s="51">
        <f t="shared" ca="1" si="3"/>
        <v>15</v>
      </c>
      <c r="I128" s="52" t="s">
        <v>267</v>
      </c>
      <c r="J128" s="53">
        <v>61150</v>
      </c>
      <c r="K128" s="54">
        <v>4</v>
      </c>
    </row>
    <row r="129" spans="1:13" x14ac:dyDescent="0.25">
      <c r="A129" s="39" t="s">
        <v>401</v>
      </c>
      <c r="B129" s="46" t="s">
        <v>271</v>
      </c>
      <c r="C129" s="39" t="s">
        <v>391</v>
      </c>
      <c r="D129" s="142">
        <v>215684194</v>
      </c>
      <c r="E129" s="39" t="s">
        <v>256</v>
      </c>
      <c r="F129" s="81">
        <v>36077</v>
      </c>
      <c r="G129" s="105" t="str">
        <f t="shared" si="2"/>
        <v>Oct</v>
      </c>
      <c r="H129" s="51">
        <f t="shared" ca="1" si="3"/>
        <v>18</v>
      </c>
      <c r="I129" s="52" t="s">
        <v>283</v>
      </c>
      <c r="J129" s="53">
        <v>50110</v>
      </c>
      <c r="K129" s="54">
        <v>1</v>
      </c>
    </row>
    <row r="130" spans="1:13" hidden="1" x14ac:dyDescent="0.25">
      <c r="A130" s="39" t="s">
        <v>403</v>
      </c>
      <c r="B130" s="46" t="s">
        <v>285</v>
      </c>
      <c r="C130" s="39" t="s">
        <v>391</v>
      </c>
      <c r="D130" s="142">
        <v>679632178</v>
      </c>
      <c r="E130" s="39" t="s">
        <v>252</v>
      </c>
      <c r="F130" s="81">
        <v>33183</v>
      </c>
      <c r="G130" s="105" t="str">
        <f t="shared" ref="G130:G193" si="4">CHOOSE(MONTH(F130),"Jan","Feb","Mar","Apr","May","Jun","Jul","Aug","Sep","Oct","Nov","Dec")</f>
        <v>Nov</v>
      </c>
      <c r="H130" s="51">
        <f t="shared" ref="H130:H193" ca="1" si="5">DATEDIF(F130,TODAY(),"Y")</f>
        <v>26</v>
      </c>
      <c r="I130" s="52"/>
      <c r="J130" s="53">
        <v>14712</v>
      </c>
      <c r="K130" s="54">
        <v>5</v>
      </c>
    </row>
    <row r="131" spans="1:13" x14ac:dyDescent="0.25">
      <c r="A131" s="39" t="s">
        <v>395</v>
      </c>
      <c r="B131" s="46" t="s">
        <v>271</v>
      </c>
      <c r="C131" s="39" t="s">
        <v>391</v>
      </c>
      <c r="D131" s="142">
        <v>607067374</v>
      </c>
      <c r="E131" s="39" t="s">
        <v>247</v>
      </c>
      <c r="F131" s="81">
        <v>35737</v>
      </c>
      <c r="G131" s="105" t="str">
        <f t="shared" si="4"/>
        <v>Nov</v>
      </c>
      <c r="H131" s="51">
        <f t="shared" ca="1" si="5"/>
        <v>19</v>
      </c>
      <c r="I131" s="52"/>
      <c r="J131" s="53">
        <v>76020</v>
      </c>
      <c r="K131" s="54">
        <v>1</v>
      </c>
    </row>
    <row r="132" spans="1:13" hidden="1" x14ac:dyDescent="0.25">
      <c r="A132" s="39" t="s">
        <v>397</v>
      </c>
      <c r="B132" s="46" t="s">
        <v>266</v>
      </c>
      <c r="C132" s="39" t="s">
        <v>391</v>
      </c>
      <c r="D132" s="142">
        <v>556554296</v>
      </c>
      <c r="E132" s="39" t="s">
        <v>256</v>
      </c>
      <c r="F132" s="81">
        <v>37612</v>
      </c>
      <c r="G132" s="105" t="str">
        <f t="shared" si="4"/>
        <v>Dec</v>
      </c>
      <c r="H132" s="51">
        <f t="shared" ca="1" si="5"/>
        <v>13</v>
      </c>
      <c r="I132" s="52" t="s">
        <v>267</v>
      </c>
      <c r="J132" s="53">
        <v>39740</v>
      </c>
      <c r="K132" s="54">
        <v>1</v>
      </c>
    </row>
    <row r="133" spans="1:13" hidden="1" x14ac:dyDescent="0.25">
      <c r="A133" s="39" t="s">
        <v>414</v>
      </c>
      <c r="B133" s="46" t="s">
        <v>245</v>
      </c>
      <c r="C133" s="39" t="s">
        <v>411</v>
      </c>
      <c r="D133" s="142">
        <v>995433946</v>
      </c>
      <c r="E133" s="39" t="s">
        <v>256</v>
      </c>
      <c r="F133" s="81">
        <v>36569</v>
      </c>
      <c r="G133" s="105" t="str">
        <f t="shared" si="4"/>
        <v>Feb</v>
      </c>
      <c r="H133" s="51">
        <f t="shared" ca="1" si="5"/>
        <v>16</v>
      </c>
      <c r="I133" s="52" t="s">
        <v>283</v>
      </c>
      <c r="J133" s="53">
        <v>75060</v>
      </c>
      <c r="K133" s="54">
        <v>5</v>
      </c>
    </row>
    <row r="134" spans="1:13" hidden="1" x14ac:dyDescent="0.25">
      <c r="A134" s="39" t="s">
        <v>412</v>
      </c>
      <c r="B134" s="46" t="s">
        <v>285</v>
      </c>
      <c r="C134" s="39" t="s">
        <v>411</v>
      </c>
      <c r="D134" s="142">
        <v>334925100</v>
      </c>
      <c r="E134" s="39" t="s">
        <v>247</v>
      </c>
      <c r="F134" s="81">
        <v>38527</v>
      </c>
      <c r="G134" s="105" t="str">
        <f t="shared" si="4"/>
        <v>Jun</v>
      </c>
      <c r="H134" s="51">
        <f t="shared" ca="1" si="5"/>
        <v>11</v>
      </c>
      <c r="I134" s="52"/>
      <c r="J134" s="53">
        <v>60060</v>
      </c>
      <c r="K134" s="54">
        <v>2</v>
      </c>
    </row>
    <row r="135" spans="1:13" hidden="1" x14ac:dyDescent="0.25">
      <c r="A135" s="39" t="s">
        <v>410</v>
      </c>
      <c r="B135" s="46" t="s">
        <v>285</v>
      </c>
      <c r="C135" s="39" t="s">
        <v>411</v>
      </c>
      <c r="D135" s="142">
        <v>985985859</v>
      </c>
      <c r="E135" s="39" t="s">
        <v>256</v>
      </c>
      <c r="F135" s="81">
        <v>38587</v>
      </c>
      <c r="G135" s="105" t="str">
        <f t="shared" si="4"/>
        <v>Aug</v>
      </c>
      <c r="H135" s="51">
        <f t="shared" ca="1" si="5"/>
        <v>11</v>
      </c>
      <c r="I135" s="52" t="s">
        <v>257</v>
      </c>
      <c r="J135" s="53">
        <v>47350</v>
      </c>
      <c r="K135" s="54">
        <v>5</v>
      </c>
    </row>
    <row r="136" spans="1:13" hidden="1" x14ac:dyDescent="0.25">
      <c r="A136" s="39" t="s">
        <v>413</v>
      </c>
      <c r="B136" s="46" t="s">
        <v>245</v>
      </c>
      <c r="C136" s="39" t="s">
        <v>411</v>
      </c>
      <c r="D136" s="142">
        <v>961565848</v>
      </c>
      <c r="E136" s="39" t="s">
        <v>256</v>
      </c>
      <c r="F136" s="103">
        <v>40400</v>
      </c>
      <c r="G136" s="105" t="str">
        <f t="shared" si="4"/>
        <v>Aug</v>
      </c>
      <c r="H136" s="51">
        <f t="shared" ca="1" si="5"/>
        <v>6</v>
      </c>
      <c r="I136" s="52" t="s">
        <v>283</v>
      </c>
      <c r="J136" s="53">
        <v>79150</v>
      </c>
      <c r="K136" s="54">
        <v>2</v>
      </c>
    </row>
    <row r="137" spans="1:13" x14ac:dyDescent="0.25">
      <c r="A137" s="39" t="s">
        <v>415</v>
      </c>
      <c r="B137" s="46" t="s">
        <v>271</v>
      </c>
      <c r="C137" s="39" t="s">
        <v>411</v>
      </c>
      <c r="D137" s="142">
        <v>596724881</v>
      </c>
      <c r="E137" s="39" t="s">
        <v>256</v>
      </c>
      <c r="F137" s="81">
        <v>35329</v>
      </c>
      <c r="G137" s="105" t="str">
        <f t="shared" si="4"/>
        <v>Sep</v>
      </c>
      <c r="H137" s="51">
        <f t="shared" ca="1" si="5"/>
        <v>20</v>
      </c>
      <c r="I137" s="52" t="s">
        <v>257</v>
      </c>
      <c r="J137" s="53">
        <v>66740</v>
      </c>
      <c r="K137" s="54">
        <v>2</v>
      </c>
    </row>
    <row r="138" spans="1:13" hidden="1" x14ac:dyDescent="0.25">
      <c r="A138" s="39" t="s">
        <v>419</v>
      </c>
      <c r="B138" s="46" t="s">
        <v>285</v>
      </c>
      <c r="C138" s="39" t="s">
        <v>417</v>
      </c>
      <c r="D138" s="142">
        <v>221497652</v>
      </c>
      <c r="E138" s="39" t="s">
        <v>261</v>
      </c>
      <c r="F138" s="81">
        <v>35070</v>
      </c>
      <c r="G138" s="105" t="str">
        <f t="shared" si="4"/>
        <v>Jan</v>
      </c>
      <c r="H138" s="51">
        <f t="shared" ca="1" si="5"/>
        <v>20</v>
      </c>
      <c r="I138" s="52" t="s">
        <v>276</v>
      </c>
      <c r="J138" s="53">
        <v>21220</v>
      </c>
      <c r="K138" s="54">
        <v>3</v>
      </c>
    </row>
    <row r="139" spans="1:13" x14ac:dyDescent="0.25">
      <c r="A139" s="39" t="s">
        <v>416</v>
      </c>
      <c r="B139" s="46" t="s">
        <v>271</v>
      </c>
      <c r="C139" s="39" t="s">
        <v>417</v>
      </c>
      <c r="D139" s="142">
        <v>195394617</v>
      </c>
      <c r="E139" s="39" t="s">
        <v>256</v>
      </c>
      <c r="F139" s="81">
        <v>35084</v>
      </c>
      <c r="G139" s="105" t="str">
        <f t="shared" si="4"/>
        <v>Jan</v>
      </c>
      <c r="H139" s="51">
        <f t="shared" ca="1" si="5"/>
        <v>20</v>
      </c>
      <c r="I139" s="52" t="s">
        <v>276</v>
      </c>
      <c r="J139" s="53">
        <v>49260</v>
      </c>
      <c r="K139" s="54">
        <v>3</v>
      </c>
    </row>
    <row r="140" spans="1:13" hidden="1" x14ac:dyDescent="0.25">
      <c r="A140" s="39" t="s">
        <v>418</v>
      </c>
      <c r="B140" s="46" t="s">
        <v>285</v>
      </c>
      <c r="C140" s="39" t="s">
        <v>417</v>
      </c>
      <c r="D140" s="142">
        <v>882261692</v>
      </c>
      <c r="E140" s="39" t="s">
        <v>247</v>
      </c>
      <c r="F140" s="81">
        <v>37641</v>
      </c>
      <c r="G140" s="105" t="str">
        <f t="shared" si="4"/>
        <v>Jan</v>
      </c>
      <c r="H140" s="51">
        <f t="shared" ca="1" si="5"/>
        <v>13</v>
      </c>
      <c r="I140" s="52"/>
      <c r="J140" s="53">
        <v>31970</v>
      </c>
      <c r="K140" s="54">
        <v>5</v>
      </c>
    </row>
    <row r="141" spans="1:13" hidden="1" x14ac:dyDescent="0.25">
      <c r="A141" s="39" t="s">
        <v>445</v>
      </c>
      <c r="B141" s="46" t="s">
        <v>285</v>
      </c>
      <c r="C141" s="39" t="s">
        <v>417</v>
      </c>
      <c r="D141" s="142">
        <v>442972284</v>
      </c>
      <c r="E141" s="39" t="s">
        <v>261</v>
      </c>
      <c r="F141" s="81">
        <v>34755</v>
      </c>
      <c r="G141" s="105" t="str">
        <f t="shared" si="4"/>
        <v>Feb</v>
      </c>
      <c r="H141" s="51">
        <f t="shared" ca="1" si="5"/>
        <v>21</v>
      </c>
      <c r="I141" s="52" t="s">
        <v>267</v>
      </c>
      <c r="J141" s="53">
        <v>15005</v>
      </c>
      <c r="K141" s="54">
        <v>4</v>
      </c>
      <c r="M141" s="63"/>
    </row>
    <row r="142" spans="1:13" x14ac:dyDescent="0.25">
      <c r="A142" s="39" t="s">
        <v>454</v>
      </c>
      <c r="B142" s="46" t="s">
        <v>271</v>
      </c>
      <c r="C142" s="39" t="s">
        <v>417</v>
      </c>
      <c r="D142" s="142">
        <v>165179030</v>
      </c>
      <c r="E142" s="39" t="s">
        <v>256</v>
      </c>
      <c r="F142" s="81">
        <v>37288</v>
      </c>
      <c r="G142" s="105" t="str">
        <f t="shared" si="4"/>
        <v>Feb</v>
      </c>
      <c r="H142" s="51">
        <f t="shared" ca="1" si="5"/>
        <v>14</v>
      </c>
      <c r="I142" s="52" t="s">
        <v>257</v>
      </c>
      <c r="J142" s="53">
        <v>42480</v>
      </c>
      <c r="K142" s="54">
        <v>3</v>
      </c>
    </row>
    <row r="143" spans="1:13" hidden="1" x14ac:dyDescent="0.25">
      <c r="A143" s="39" t="s">
        <v>440</v>
      </c>
      <c r="B143" s="46" t="s">
        <v>285</v>
      </c>
      <c r="C143" s="39" t="s">
        <v>417</v>
      </c>
      <c r="D143" s="142">
        <v>980833346</v>
      </c>
      <c r="E143" s="39" t="s">
        <v>256</v>
      </c>
      <c r="F143" s="81">
        <v>38753</v>
      </c>
      <c r="G143" s="105" t="str">
        <f t="shared" si="4"/>
        <v>Feb</v>
      </c>
      <c r="H143" s="51">
        <f t="shared" ca="1" si="5"/>
        <v>10</v>
      </c>
      <c r="I143" s="52" t="s">
        <v>257</v>
      </c>
      <c r="J143" s="53">
        <v>22410</v>
      </c>
      <c r="K143" s="54">
        <v>4</v>
      </c>
    </row>
    <row r="144" spans="1:13" x14ac:dyDescent="0.25">
      <c r="A144" s="39" t="s">
        <v>448</v>
      </c>
      <c r="B144" s="46" t="s">
        <v>271</v>
      </c>
      <c r="C144" s="39" t="s">
        <v>417</v>
      </c>
      <c r="D144" s="142">
        <v>705549975</v>
      </c>
      <c r="E144" s="39" t="s">
        <v>247</v>
      </c>
      <c r="F144" s="103">
        <v>40236</v>
      </c>
      <c r="G144" s="105" t="str">
        <f t="shared" si="4"/>
        <v>Feb</v>
      </c>
      <c r="H144" s="51">
        <f t="shared" ca="1" si="5"/>
        <v>6</v>
      </c>
      <c r="I144" s="52"/>
      <c r="J144" s="53">
        <v>45830</v>
      </c>
      <c r="K144" s="54">
        <v>4</v>
      </c>
    </row>
    <row r="145" spans="1:13" hidden="1" x14ac:dyDescent="0.25">
      <c r="A145" s="39" t="s">
        <v>430</v>
      </c>
      <c r="B145" s="46" t="s">
        <v>245</v>
      </c>
      <c r="C145" s="39" t="s">
        <v>417</v>
      </c>
      <c r="D145" s="142">
        <v>301068136</v>
      </c>
      <c r="E145" s="39" t="s">
        <v>247</v>
      </c>
      <c r="F145" s="81">
        <v>34761</v>
      </c>
      <c r="G145" s="105" t="str">
        <f t="shared" si="4"/>
        <v>Mar</v>
      </c>
      <c r="H145" s="51">
        <f t="shared" ca="1" si="5"/>
        <v>21</v>
      </c>
      <c r="I145" s="52"/>
      <c r="J145" s="53">
        <v>45040</v>
      </c>
      <c r="K145" s="54">
        <v>5</v>
      </c>
    </row>
    <row r="146" spans="1:13" x14ac:dyDescent="0.25">
      <c r="A146" s="39" t="s">
        <v>453</v>
      </c>
      <c r="B146" s="46" t="s">
        <v>271</v>
      </c>
      <c r="C146" s="39" t="s">
        <v>417</v>
      </c>
      <c r="D146" s="142">
        <v>301215667</v>
      </c>
      <c r="E146" s="39" t="s">
        <v>247</v>
      </c>
      <c r="F146" s="81">
        <v>34771</v>
      </c>
      <c r="G146" s="105" t="str">
        <f t="shared" si="4"/>
        <v>Mar</v>
      </c>
      <c r="H146" s="51">
        <f t="shared" ca="1" si="5"/>
        <v>21</v>
      </c>
      <c r="I146" s="52"/>
      <c r="J146" s="53">
        <v>26360</v>
      </c>
      <c r="K146" s="54">
        <v>4</v>
      </c>
    </row>
    <row r="147" spans="1:13" hidden="1" x14ac:dyDescent="0.25">
      <c r="A147" s="39" t="s">
        <v>447</v>
      </c>
      <c r="B147" s="46" t="s">
        <v>285</v>
      </c>
      <c r="C147" s="39" t="s">
        <v>417</v>
      </c>
      <c r="D147" s="142">
        <v>535442436</v>
      </c>
      <c r="E147" s="39" t="s">
        <v>256</v>
      </c>
      <c r="F147" s="81">
        <v>35501</v>
      </c>
      <c r="G147" s="105" t="str">
        <f t="shared" si="4"/>
        <v>Mar</v>
      </c>
      <c r="H147" s="51">
        <f t="shared" ca="1" si="5"/>
        <v>19</v>
      </c>
      <c r="I147" s="52" t="s">
        <v>283</v>
      </c>
      <c r="J147" s="53">
        <v>37750</v>
      </c>
      <c r="K147" s="54">
        <v>5</v>
      </c>
    </row>
    <row r="148" spans="1:13" x14ac:dyDescent="0.25">
      <c r="A148" s="39" t="s">
        <v>429</v>
      </c>
      <c r="B148" s="46" t="s">
        <v>271</v>
      </c>
      <c r="C148" s="39" t="s">
        <v>417</v>
      </c>
      <c r="D148" s="142">
        <v>580816855</v>
      </c>
      <c r="E148" s="39" t="s">
        <v>252</v>
      </c>
      <c r="F148" s="81">
        <v>39893</v>
      </c>
      <c r="G148" s="105" t="str">
        <f t="shared" si="4"/>
        <v>Mar</v>
      </c>
      <c r="H148" s="51">
        <f t="shared" ca="1" si="5"/>
        <v>7</v>
      </c>
      <c r="I148" s="52"/>
      <c r="J148" s="53">
        <v>15744</v>
      </c>
      <c r="K148" s="54">
        <v>3</v>
      </c>
    </row>
    <row r="149" spans="1:13" hidden="1" x14ac:dyDescent="0.25">
      <c r="A149" s="39" t="s">
        <v>427</v>
      </c>
      <c r="B149" s="46" t="s">
        <v>266</v>
      </c>
      <c r="C149" s="39" t="s">
        <v>417</v>
      </c>
      <c r="D149" s="142">
        <v>986614610</v>
      </c>
      <c r="E149" s="39" t="s">
        <v>247</v>
      </c>
      <c r="F149" s="81">
        <v>40259</v>
      </c>
      <c r="G149" s="105" t="str">
        <f t="shared" si="4"/>
        <v>Mar</v>
      </c>
      <c r="H149" s="51">
        <f t="shared" ca="1" si="5"/>
        <v>6</v>
      </c>
      <c r="I149" s="52"/>
      <c r="J149" s="53">
        <v>45710</v>
      </c>
      <c r="K149" s="54">
        <v>3</v>
      </c>
    </row>
    <row r="150" spans="1:13" hidden="1" x14ac:dyDescent="0.25">
      <c r="A150" s="39" t="s">
        <v>432</v>
      </c>
      <c r="B150" s="46" t="s">
        <v>245</v>
      </c>
      <c r="C150" s="39" t="s">
        <v>417</v>
      </c>
      <c r="D150" s="142">
        <v>838492284</v>
      </c>
      <c r="E150" s="39" t="s">
        <v>261</v>
      </c>
      <c r="F150" s="81">
        <v>33709</v>
      </c>
      <c r="G150" s="105" t="str">
        <f t="shared" si="4"/>
        <v>Apr</v>
      </c>
      <c r="H150" s="51">
        <f t="shared" ca="1" si="5"/>
        <v>24</v>
      </c>
      <c r="I150" s="52" t="s">
        <v>257</v>
      </c>
      <c r="J150" s="53">
        <v>34110</v>
      </c>
      <c r="K150" s="54">
        <v>4</v>
      </c>
      <c r="M150" s="63"/>
    </row>
    <row r="151" spans="1:13" hidden="1" x14ac:dyDescent="0.25">
      <c r="A151" s="39" t="s">
        <v>450</v>
      </c>
      <c r="B151" s="46" t="s">
        <v>285</v>
      </c>
      <c r="C151" s="39" t="s">
        <v>417</v>
      </c>
      <c r="D151" s="142">
        <v>566341156</v>
      </c>
      <c r="E151" s="39" t="s">
        <v>256</v>
      </c>
      <c r="F151" s="81">
        <v>34086</v>
      </c>
      <c r="G151" s="105" t="str">
        <f t="shared" si="4"/>
        <v>Apr</v>
      </c>
      <c r="H151" s="51">
        <f t="shared" ca="1" si="5"/>
        <v>23</v>
      </c>
      <c r="I151" s="52" t="s">
        <v>257</v>
      </c>
      <c r="J151" s="53">
        <v>31840</v>
      </c>
      <c r="K151" s="54">
        <v>1</v>
      </c>
    </row>
    <row r="152" spans="1:13" hidden="1" x14ac:dyDescent="0.25">
      <c r="A152" s="39" t="s">
        <v>436</v>
      </c>
      <c r="B152" s="46" t="s">
        <v>280</v>
      </c>
      <c r="C152" s="39" t="s">
        <v>417</v>
      </c>
      <c r="D152" s="142">
        <v>948682483</v>
      </c>
      <c r="E152" s="39" t="s">
        <v>252</v>
      </c>
      <c r="F152" s="81">
        <v>36263</v>
      </c>
      <c r="G152" s="105" t="str">
        <f t="shared" si="4"/>
        <v>Apr</v>
      </c>
      <c r="H152" s="51">
        <f t="shared" ca="1" si="5"/>
        <v>17</v>
      </c>
      <c r="I152" s="52"/>
      <c r="J152" s="53">
        <v>38768</v>
      </c>
      <c r="K152" s="54">
        <v>4</v>
      </c>
    </row>
    <row r="153" spans="1:13" hidden="1" x14ac:dyDescent="0.25">
      <c r="A153" s="39" t="s">
        <v>433</v>
      </c>
      <c r="B153" s="46" t="s">
        <v>245</v>
      </c>
      <c r="C153" s="39" t="s">
        <v>417</v>
      </c>
      <c r="D153" s="142">
        <v>419764759</v>
      </c>
      <c r="E153" s="39" t="s">
        <v>256</v>
      </c>
      <c r="F153" s="81">
        <v>36643</v>
      </c>
      <c r="G153" s="105" t="str">
        <f t="shared" si="4"/>
        <v>Apr</v>
      </c>
      <c r="H153" s="51">
        <f t="shared" ca="1" si="5"/>
        <v>16</v>
      </c>
      <c r="I153" s="52" t="s">
        <v>283</v>
      </c>
      <c r="J153" s="53">
        <v>71380</v>
      </c>
      <c r="K153" s="54">
        <v>2</v>
      </c>
    </row>
    <row r="154" spans="1:13" hidden="1" x14ac:dyDescent="0.25">
      <c r="A154" s="39" t="s">
        <v>423</v>
      </c>
      <c r="B154" s="46" t="s">
        <v>285</v>
      </c>
      <c r="C154" s="39" t="s">
        <v>417</v>
      </c>
      <c r="D154" s="142">
        <v>511039516</v>
      </c>
      <c r="E154" s="39" t="s">
        <v>261</v>
      </c>
      <c r="F154" s="81">
        <v>35186</v>
      </c>
      <c r="G154" s="105" t="str">
        <f t="shared" si="4"/>
        <v>May</v>
      </c>
      <c r="H154" s="51">
        <f t="shared" ca="1" si="5"/>
        <v>20</v>
      </c>
      <c r="I154" s="52" t="s">
        <v>276</v>
      </c>
      <c r="J154" s="53">
        <v>32835</v>
      </c>
      <c r="K154" s="54">
        <v>2</v>
      </c>
    </row>
    <row r="155" spans="1:13" x14ac:dyDescent="0.25">
      <c r="A155" s="39" t="s">
        <v>426</v>
      </c>
      <c r="B155" s="46" t="s">
        <v>271</v>
      </c>
      <c r="C155" s="39" t="s">
        <v>417</v>
      </c>
      <c r="D155" s="142">
        <v>215074557</v>
      </c>
      <c r="E155" s="39" t="s">
        <v>247</v>
      </c>
      <c r="F155" s="81">
        <v>35939</v>
      </c>
      <c r="G155" s="105" t="str">
        <f t="shared" si="4"/>
        <v>May</v>
      </c>
      <c r="H155" s="51">
        <f t="shared" ca="1" si="5"/>
        <v>18</v>
      </c>
      <c r="I155" s="52"/>
      <c r="J155" s="53">
        <v>25120</v>
      </c>
      <c r="K155" s="54">
        <v>5</v>
      </c>
    </row>
    <row r="156" spans="1:13" hidden="1" x14ac:dyDescent="0.25">
      <c r="A156" s="39" t="s">
        <v>437</v>
      </c>
      <c r="B156" s="46" t="s">
        <v>285</v>
      </c>
      <c r="C156" s="39" t="s">
        <v>417</v>
      </c>
      <c r="D156" s="142">
        <v>979525013</v>
      </c>
      <c r="E156" s="39" t="s">
        <v>256</v>
      </c>
      <c r="F156" s="81">
        <v>38135</v>
      </c>
      <c r="G156" s="105" t="str">
        <f t="shared" si="4"/>
        <v>May</v>
      </c>
      <c r="H156" s="51">
        <f t="shared" ca="1" si="5"/>
        <v>12</v>
      </c>
      <c r="I156" s="52" t="s">
        <v>267</v>
      </c>
      <c r="J156" s="53">
        <v>65560</v>
      </c>
      <c r="K156" s="54">
        <v>1</v>
      </c>
    </row>
    <row r="157" spans="1:13" x14ac:dyDescent="0.25">
      <c r="A157" s="39" t="s">
        <v>428</v>
      </c>
      <c r="B157" s="46" t="s">
        <v>271</v>
      </c>
      <c r="C157" s="39" t="s">
        <v>417</v>
      </c>
      <c r="D157" s="142">
        <v>821386342</v>
      </c>
      <c r="E157" s="39" t="s">
        <v>256</v>
      </c>
      <c r="F157" s="81">
        <v>33405</v>
      </c>
      <c r="G157" s="105" t="str">
        <f t="shared" si="4"/>
        <v>Jun</v>
      </c>
      <c r="H157" s="51">
        <f t="shared" ca="1" si="5"/>
        <v>25</v>
      </c>
      <c r="I157" s="52" t="s">
        <v>283</v>
      </c>
      <c r="J157" s="53">
        <v>32140</v>
      </c>
      <c r="K157" s="54">
        <v>2</v>
      </c>
    </row>
    <row r="158" spans="1:13" x14ac:dyDescent="0.25">
      <c r="A158" s="39" t="s">
        <v>438</v>
      </c>
      <c r="B158" s="46" t="s">
        <v>271</v>
      </c>
      <c r="C158" s="39" t="s">
        <v>417</v>
      </c>
      <c r="D158" s="142">
        <v>417292721</v>
      </c>
      <c r="E158" s="39" t="s">
        <v>256</v>
      </c>
      <c r="F158" s="81">
        <v>35605</v>
      </c>
      <c r="G158" s="105" t="str">
        <f t="shared" si="4"/>
        <v>Jun</v>
      </c>
      <c r="H158" s="51">
        <f t="shared" ca="1" si="5"/>
        <v>19</v>
      </c>
      <c r="I158" s="52" t="s">
        <v>283</v>
      </c>
      <c r="J158" s="53">
        <v>56870</v>
      </c>
      <c r="K158" s="54">
        <v>1</v>
      </c>
    </row>
    <row r="159" spans="1:13" hidden="1" x14ac:dyDescent="0.25">
      <c r="A159" s="39" t="s">
        <v>439</v>
      </c>
      <c r="B159" s="46" t="s">
        <v>280</v>
      </c>
      <c r="C159" s="39" t="s">
        <v>417</v>
      </c>
      <c r="D159" s="142">
        <v>761404774</v>
      </c>
      <c r="E159" s="39" t="s">
        <v>256</v>
      </c>
      <c r="F159" s="81">
        <v>33079</v>
      </c>
      <c r="G159" s="105" t="str">
        <f t="shared" si="4"/>
        <v>Jul</v>
      </c>
      <c r="H159" s="51">
        <f t="shared" ca="1" si="5"/>
        <v>26</v>
      </c>
      <c r="I159" s="52" t="s">
        <v>276</v>
      </c>
      <c r="J159" s="53">
        <v>32360</v>
      </c>
      <c r="K159" s="54">
        <v>4</v>
      </c>
    </row>
    <row r="160" spans="1:13" hidden="1" x14ac:dyDescent="0.25">
      <c r="A160" s="39" t="s">
        <v>431</v>
      </c>
      <c r="B160" s="46" t="s">
        <v>285</v>
      </c>
      <c r="C160" s="39" t="s">
        <v>417</v>
      </c>
      <c r="D160" s="142">
        <v>351466618</v>
      </c>
      <c r="E160" s="39" t="s">
        <v>247</v>
      </c>
      <c r="F160" s="81">
        <v>33424</v>
      </c>
      <c r="G160" s="105" t="str">
        <f t="shared" si="4"/>
        <v>Jul</v>
      </c>
      <c r="H160" s="51">
        <f t="shared" ca="1" si="5"/>
        <v>25</v>
      </c>
      <c r="I160" s="52"/>
      <c r="J160" s="53">
        <v>22320</v>
      </c>
      <c r="K160" s="54">
        <v>2</v>
      </c>
    </row>
    <row r="161" spans="1:11" hidden="1" x14ac:dyDescent="0.25">
      <c r="A161" s="39" t="s">
        <v>444</v>
      </c>
      <c r="B161" s="46" t="s">
        <v>245</v>
      </c>
      <c r="C161" s="39" t="s">
        <v>417</v>
      </c>
      <c r="D161" s="142">
        <v>206836754</v>
      </c>
      <c r="E161" s="39" t="s">
        <v>247</v>
      </c>
      <c r="F161" s="81">
        <v>34161</v>
      </c>
      <c r="G161" s="105" t="str">
        <f t="shared" si="4"/>
        <v>Jul</v>
      </c>
      <c r="H161" s="51">
        <f t="shared" ca="1" si="5"/>
        <v>23</v>
      </c>
      <c r="I161" s="52"/>
      <c r="J161" s="53">
        <v>64090</v>
      </c>
      <c r="K161" s="54">
        <v>2</v>
      </c>
    </row>
    <row r="162" spans="1:11" hidden="1" x14ac:dyDescent="0.25">
      <c r="A162" s="39" t="s">
        <v>425</v>
      </c>
      <c r="B162" s="46" t="s">
        <v>285</v>
      </c>
      <c r="C162" s="39" t="s">
        <v>417</v>
      </c>
      <c r="D162" s="142">
        <v>306656146</v>
      </c>
      <c r="E162" s="39" t="s">
        <v>256</v>
      </c>
      <c r="F162" s="81">
        <v>35253</v>
      </c>
      <c r="G162" s="105" t="str">
        <f t="shared" si="4"/>
        <v>Jul</v>
      </c>
      <c r="H162" s="51">
        <f t="shared" ca="1" si="5"/>
        <v>20</v>
      </c>
      <c r="I162" s="52" t="s">
        <v>257</v>
      </c>
      <c r="J162" s="53">
        <v>63780</v>
      </c>
      <c r="K162" s="54">
        <v>5</v>
      </c>
    </row>
    <row r="163" spans="1:11" hidden="1" x14ac:dyDescent="0.25">
      <c r="A163" s="39" t="s">
        <v>446</v>
      </c>
      <c r="B163" s="46" t="s">
        <v>251</v>
      </c>
      <c r="C163" s="39" t="s">
        <v>417</v>
      </c>
      <c r="D163" s="142">
        <v>467505582</v>
      </c>
      <c r="E163" s="39" t="s">
        <v>256</v>
      </c>
      <c r="F163" s="81">
        <v>35989</v>
      </c>
      <c r="G163" s="105" t="str">
        <f t="shared" si="4"/>
        <v>Jul</v>
      </c>
      <c r="H163" s="51">
        <f t="shared" ca="1" si="5"/>
        <v>18</v>
      </c>
      <c r="I163" s="52" t="s">
        <v>262</v>
      </c>
      <c r="J163" s="53">
        <v>71010</v>
      </c>
      <c r="K163" s="54">
        <v>5</v>
      </c>
    </row>
    <row r="164" spans="1:11" hidden="1" x14ac:dyDescent="0.25">
      <c r="A164" s="39" t="s">
        <v>452</v>
      </c>
      <c r="B164" s="46" t="s">
        <v>285</v>
      </c>
      <c r="C164" s="39" t="s">
        <v>417</v>
      </c>
      <c r="D164" s="142">
        <v>450582040</v>
      </c>
      <c r="E164" s="39" t="s">
        <v>247</v>
      </c>
      <c r="F164" s="81">
        <v>34912</v>
      </c>
      <c r="G164" s="105" t="str">
        <f t="shared" si="4"/>
        <v>Aug</v>
      </c>
      <c r="H164" s="51">
        <f t="shared" ca="1" si="5"/>
        <v>21</v>
      </c>
      <c r="I164" s="52"/>
      <c r="J164" s="53">
        <v>40560</v>
      </c>
      <c r="K164" s="54">
        <v>5</v>
      </c>
    </row>
    <row r="165" spans="1:11" hidden="1" x14ac:dyDescent="0.25">
      <c r="A165" s="39" t="s">
        <v>449</v>
      </c>
      <c r="B165" s="46" t="s">
        <v>251</v>
      </c>
      <c r="C165" s="39" t="s">
        <v>417</v>
      </c>
      <c r="D165" s="142">
        <v>924021148</v>
      </c>
      <c r="E165" s="39" t="s">
        <v>247</v>
      </c>
      <c r="F165" s="81">
        <v>40054</v>
      </c>
      <c r="G165" s="105" t="str">
        <f t="shared" si="4"/>
        <v>Aug</v>
      </c>
      <c r="H165" s="51">
        <f t="shared" ca="1" si="5"/>
        <v>7</v>
      </c>
      <c r="I165" s="52"/>
      <c r="J165" s="53">
        <v>56920</v>
      </c>
      <c r="K165" s="54">
        <v>4</v>
      </c>
    </row>
    <row r="166" spans="1:11" x14ac:dyDescent="0.25">
      <c r="A166" s="39" t="s">
        <v>424</v>
      </c>
      <c r="B166" s="46" t="s">
        <v>271</v>
      </c>
      <c r="C166" s="39" t="s">
        <v>417</v>
      </c>
      <c r="D166" s="142">
        <v>938838840</v>
      </c>
      <c r="E166" s="39" t="s">
        <v>256</v>
      </c>
      <c r="F166" s="81">
        <v>40399</v>
      </c>
      <c r="G166" s="105" t="str">
        <f t="shared" si="4"/>
        <v>Aug</v>
      </c>
      <c r="H166" s="51">
        <f t="shared" ca="1" si="5"/>
        <v>6</v>
      </c>
      <c r="I166" s="52" t="s">
        <v>267</v>
      </c>
      <c r="J166" s="53">
        <v>32640</v>
      </c>
      <c r="K166" s="54">
        <v>4</v>
      </c>
    </row>
    <row r="167" spans="1:11" x14ac:dyDescent="0.25">
      <c r="A167" s="39" t="s">
        <v>441</v>
      </c>
      <c r="B167" s="46" t="s">
        <v>271</v>
      </c>
      <c r="C167" s="39" t="s">
        <v>417</v>
      </c>
      <c r="D167" s="142">
        <v>293180812</v>
      </c>
      <c r="E167" s="39" t="s">
        <v>256</v>
      </c>
      <c r="F167" s="81">
        <v>33117</v>
      </c>
      <c r="G167" s="105" t="str">
        <f t="shared" si="4"/>
        <v>Sep</v>
      </c>
      <c r="H167" s="51">
        <f t="shared" ca="1" si="5"/>
        <v>26</v>
      </c>
      <c r="I167" s="52" t="s">
        <v>267</v>
      </c>
      <c r="J167" s="53">
        <v>35360</v>
      </c>
      <c r="K167" s="54">
        <v>5</v>
      </c>
    </row>
    <row r="168" spans="1:11" hidden="1" x14ac:dyDescent="0.25">
      <c r="A168" s="39" t="s">
        <v>421</v>
      </c>
      <c r="B168" s="46" t="s">
        <v>280</v>
      </c>
      <c r="C168" s="39" t="s">
        <v>417</v>
      </c>
      <c r="D168" s="142">
        <v>532008427</v>
      </c>
      <c r="E168" s="39" t="s">
        <v>256</v>
      </c>
      <c r="F168" s="81">
        <v>33872</v>
      </c>
      <c r="G168" s="105" t="str">
        <f t="shared" si="4"/>
        <v>Sep</v>
      </c>
      <c r="H168" s="51">
        <f t="shared" ca="1" si="5"/>
        <v>24</v>
      </c>
      <c r="I168" s="52" t="s">
        <v>257</v>
      </c>
      <c r="J168" s="53">
        <v>64510</v>
      </c>
      <c r="K168" s="54">
        <v>3</v>
      </c>
    </row>
    <row r="169" spans="1:11" x14ac:dyDescent="0.25">
      <c r="A169" s="39" t="s">
        <v>451</v>
      </c>
      <c r="B169" s="46" t="s">
        <v>271</v>
      </c>
      <c r="C169" s="39" t="s">
        <v>417</v>
      </c>
      <c r="D169" s="142">
        <v>606035571</v>
      </c>
      <c r="E169" s="39" t="s">
        <v>256</v>
      </c>
      <c r="F169" s="81">
        <v>34213</v>
      </c>
      <c r="G169" s="105" t="str">
        <f t="shared" si="4"/>
        <v>Sep</v>
      </c>
      <c r="H169" s="51">
        <f t="shared" ca="1" si="5"/>
        <v>23</v>
      </c>
      <c r="I169" s="52" t="s">
        <v>257</v>
      </c>
      <c r="J169" s="53">
        <v>72900</v>
      </c>
      <c r="K169" s="54">
        <v>3</v>
      </c>
    </row>
    <row r="170" spans="1:11" hidden="1" x14ac:dyDescent="0.25">
      <c r="A170" s="39" t="s">
        <v>435</v>
      </c>
      <c r="B170" s="46" t="s">
        <v>280</v>
      </c>
      <c r="C170" s="39" t="s">
        <v>417</v>
      </c>
      <c r="D170" s="142">
        <v>730750253</v>
      </c>
      <c r="E170" s="39" t="s">
        <v>256</v>
      </c>
      <c r="F170" s="81">
        <v>36414</v>
      </c>
      <c r="G170" s="105" t="str">
        <f t="shared" si="4"/>
        <v>Sep</v>
      </c>
      <c r="H170" s="51">
        <f t="shared" ca="1" si="5"/>
        <v>17</v>
      </c>
      <c r="I170" s="52" t="s">
        <v>276</v>
      </c>
      <c r="J170" s="53">
        <v>39680</v>
      </c>
      <c r="K170" s="54">
        <v>5</v>
      </c>
    </row>
    <row r="171" spans="1:11" hidden="1" x14ac:dyDescent="0.25">
      <c r="A171" s="39" t="s">
        <v>420</v>
      </c>
      <c r="B171" s="46" t="s">
        <v>251</v>
      </c>
      <c r="C171" s="39" t="s">
        <v>417</v>
      </c>
      <c r="D171" s="142">
        <v>140093756</v>
      </c>
      <c r="E171" s="39" t="s">
        <v>256</v>
      </c>
      <c r="F171" s="81">
        <v>36082</v>
      </c>
      <c r="G171" s="105" t="str">
        <f t="shared" si="4"/>
        <v>Oct</v>
      </c>
      <c r="H171" s="51">
        <f t="shared" ca="1" si="5"/>
        <v>18</v>
      </c>
      <c r="I171" s="52" t="s">
        <v>283</v>
      </c>
      <c r="J171" s="53">
        <v>82400</v>
      </c>
      <c r="K171" s="54">
        <v>2</v>
      </c>
    </row>
    <row r="172" spans="1:11" hidden="1" x14ac:dyDescent="0.25">
      <c r="A172" s="39" t="s">
        <v>443</v>
      </c>
      <c r="B172" s="46" t="s">
        <v>285</v>
      </c>
      <c r="C172" s="39" t="s">
        <v>417</v>
      </c>
      <c r="D172" s="142">
        <v>730371043</v>
      </c>
      <c r="E172" s="39" t="s">
        <v>256</v>
      </c>
      <c r="F172" s="81">
        <v>40470</v>
      </c>
      <c r="G172" s="105" t="str">
        <f t="shared" si="4"/>
        <v>Oct</v>
      </c>
      <c r="H172" s="51">
        <f t="shared" ca="1" si="5"/>
        <v>6</v>
      </c>
      <c r="I172" s="52" t="s">
        <v>283</v>
      </c>
      <c r="J172" s="53">
        <v>42620</v>
      </c>
      <c r="K172" s="54">
        <v>3</v>
      </c>
    </row>
    <row r="173" spans="1:11" hidden="1" x14ac:dyDescent="0.25">
      <c r="A173" s="39" t="s">
        <v>434</v>
      </c>
      <c r="B173" s="46" t="s">
        <v>251</v>
      </c>
      <c r="C173" s="39" t="s">
        <v>417</v>
      </c>
      <c r="D173" s="142">
        <v>976480466</v>
      </c>
      <c r="E173" s="39" t="s">
        <v>256</v>
      </c>
      <c r="F173" s="81">
        <v>33923</v>
      </c>
      <c r="G173" s="105" t="str">
        <f t="shared" si="4"/>
        <v>Nov</v>
      </c>
      <c r="H173" s="51">
        <f t="shared" ca="1" si="5"/>
        <v>24</v>
      </c>
      <c r="I173" s="52" t="s">
        <v>283</v>
      </c>
      <c r="J173" s="53">
        <v>46340</v>
      </c>
      <c r="K173" s="54">
        <v>5</v>
      </c>
    </row>
    <row r="174" spans="1:11" x14ac:dyDescent="0.25">
      <c r="A174" s="39" t="s">
        <v>422</v>
      </c>
      <c r="B174" s="46" t="s">
        <v>271</v>
      </c>
      <c r="C174" s="39" t="s">
        <v>417</v>
      </c>
      <c r="D174" s="142">
        <v>438190945</v>
      </c>
      <c r="E174" s="39" t="s">
        <v>261</v>
      </c>
      <c r="F174" s="81">
        <v>39768</v>
      </c>
      <c r="G174" s="105" t="str">
        <f t="shared" si="4"/>
        <v>Nov</v>
      </c>
      <c r="H174" s="51">
        <f t="shared" ca="1" si="5"/>
        <v>8</v>
      </c>
      <c r="I174" s="52" t="s">
        <v>257</v>
      </c>
      <c r="J174" s="53">
        <v>39515</v>
      </c>
      <c r="K174" s="54">
        <v>5</v>
      </c>
    </row>
    <row r="175" spans="1:11" x14ac:dyDescent="0.25">
      <c r="A175" s="39" t="s">
        <v>442</v>
      </c>
      <c r="B175" s="46" t="s">
        <v>271</v>
      </c>
      <c r="C175" s="39" t="s">
        <v>417</v>
      </c>
      <c r="D175" s="142">
        <v>467098416</v>
      </c>
      <c r="E175" s="39" t="s">
        <v>247</v>
      </c>
      <c r="F175" s="81">
        <v>33949</v>
      </c>
      <c r="G175" s="105" t="str">
        <f t="shared" si="4"/>
        <v>Dec</v>
      </c>
      <c r="H175" s="51">
        <f t="shared" ca="1" si="5"/>
        <v>23</v>
      </c>
      <c r="I175" s="52"/>
      <c r="J175" s="53">
        <v>81070</v>
      </c>
      <c r="K175" s="54">
        <v>5</v>
      </c>
    </row>
    <row r="176" spans="1:11" x14ac:dyDescent="0.25">
      <c r="A176" s="39" t="s">
        <v>463</v>
      </c>
      <c r="B176" s="46" t="s">
        <v>271</v>
      </c>
      <c r="C176" s="39" t="s">
        <v>456</v>
      </c>
      <c r="D176" s="142">
        <v>405706135</v>
      </c>
      <c r="E176" s="39" t="s">
        <v>261</v>
      </c>
      <c r="F176" s="81">
        <v>34401</v>
      </c>
      <c r="G176" s="105" t="str">
        <f t="shared" si="4"/>
        <v>Mar</v>
      </c>
      <c r="H176" s="51">
        <f t="shared" ca="1" si="5"/>
        <v>22</v>
      </c>
      <c r="I176" s="52" t="s">
        <v>267</v>
      </c>
      <c r="J176" s="53">
        <v>89780</v>
      </c>
      <c r="K176" s="54">
        <v>4</v>
      </c>
    </row>
    <row r="177" spans="1:11" hidden="1" x14ac:dyDescent="0.25">
      <c r="A177" s="39" t="s">
        <v>455</v>
      </c>
      <c r="B177" s="46" t="s">
        <v>251</v>
      </c>
      <c r="C177" s="39" t="s">
        <v>456</v>
      </c>
      <c r="D177" s="142">
        <v>283573256</v>
      </c>
      <c r="E177" s="39" t="s">
        <v>247</v>
      </c>
      <c r="F177" s="81">
        <v>40263</v>
      </c>
      <c r="G177" s="105" t="str">
        <f t="shared" si="4"/>
        <v>Mar</v>
      </c>
      <c r="H177" s="51">
        <f t="shared" ca="1" si="5"/>
        <v>6</v>
      </c>
      <c r="I177" s="52" t="s">
        <v>267</v>
      </c>
      <c r="J177" s="53">
        <v>71190</v>
      </c>
      <c r="K177" s="54">
        <v>4</v>
      </c>
    </row>
    <row r="178" spans="1:11" x14ac:dyDescent="0.25">
      <c r="A178" s="39" t="s">
        <v>462</v>
      </c>
      <c r="B178" s="46" t="s">
        <v>271</v>
      </c>
      <c r="C178" s="39" t="s">
        <v>456</v>
      </c>
      <c r="D178" s="142">
        <v>358333151</v>
      </c>
      <c r="E178" s="39" t="s">
        <v>256</v>
      </c>
      <c r="F178" s="81">
        <v>33385</v>
      </c>
      <c r="G178" s="105" t="str">
        <f t="shared" si="4"/>
        <v>May</v>
      </c>
      <c r="H178" s="51">
        <f t="shared" ca="1" si="5"/>
        <v>25</v>
      </c>
      <c r="I178" s="52" t="s">
        <v>257</v>
      </c>
      <c r="J178" s="53">
        <v>89140</v>
      </c>
      <c r="K178" s="54">
        <v>1</v>
      </c>
    </row>
    <row r="179" spans="1:11" hidden="1" x14ac:dyDescent="0.25">
      <c r="A179" s="39" t="s">
        <v>461</v>
      </c>
      <c r="B179" s="46" t="s">
        <v>280</v>
      </c>
      <c r="C179" s="39" t="s">
        <v>456</v>
      </c>
      <c r="D179" s="142">
        <v>626066280</v>
      </c>
      <c r="E179" s="39" t="s">
        <v>247</v>
      </c>
      <c r="F179" s="81">
        <v>36673</v>
      </c>
      <c r="G179" s="105" t="str">
        <f t="shared" si="4"/>
        <v>May</v>
      </c>
      <c r="H179" s="51">
        <f t="shared" ca="1" si="5"/>
        <v>16</v>
      </c>
      <c r="I179" s="52" t="s">
        <v>283</v>
      </c>
      <c r="J179" s="53">
        <v>69410</v>
      </c>
      <c r="K179" s="54">
        <v>4</v>
      </c>
    </row>
    <row r="180" spans="1:11" hidden="1" x14ac:dyDescent="0.25">
      <c r="A180" s="39" t="s">
        <v>460</v>
      </c>
      <c r="B180" s="46" t="s">
        <v>280</v>
      </c>
      <c r="C180" s="39" t="s">
        <v>456</v>
      </c>
      <c r="D180" s="142">
        <v>610781822</v>
      </c>
      <c r="E180" s="39" t="s">
        <v>256</v>
      </c>
      <c r="F180" s="81">
        <v>37043</v>
      </c>
      <c r="G180" s="105" t="str">
        <f t="shared" si="4"/>
        <v>Jun</v>
      </c>
      <c r="H180" s="51">
        <f t="shared" ca="1" si="5"/>
        <v>15</v>
      </c>
      <c r="I180" s="52" t="s">
        <v>262</v>
      </c>
      <c r="J180" s="53">
        <v>45150</v>
      </c>
      <c r="K180" s="54">
        <v>1</v>
      </c>
    </row>
    <row r="181" spans="1:11" hidden="1" x14ac:dyDescent="0.25">
      <c r="A181" s="39" t="s">
        <v>459</v>
      </c>
      <c r="B181" s="46" t="s">
        <v>285</v>
      </c>
      <c r="C181" s="39" t="s">
        <v>456</v>
      </c>
      <c r="D181" s="142">
        <v>717068873</v>
      </c>
      <c r="E181" s="39" t="s">
        <v>261</v>
      </c>
      <c r="F181" s="81">
        <v>37505</v>
      </c>
      <c r="G181" s="105" t="str">
        <f t="shared" si="4"/>
        <v>Sep</v>
      </c>
      <c r="H181" s="51">
        <f t="shared" ca="1" si="5"/>
        <v>14</v>
      </c>
      <c r="I181" s="52" t="s">
        <v>276</v>
      </c>
      <c r="J181" s="53">
        <v>51800</v>
      </c>
      <c r="K181" s="54">
        <v>1</v>
      </c>
    </row>
    <row r="182" spans="1:11" hidden="1" x14ac:dyDescent="0.25">
      <c r="A182" s="39" t="s">
        <v>458</v>
      </c>
      <c r="B182" s="46" t="s">
        <v>285</v>
      </c>
      <c r="C182" s="39" t="s">
        <v>456</v>
      </c>
      <c r="D182" s="142">
        <v>439846524</v>
      </c>
      <c r="E182" s="39" t="s">
        <v>252</v>
      </c>
      <c r="F182" s="81">
        <v>37946</v>
      </c>
      <c r="G182" s="105" t="str">
        <f t="shared" si="4"/>
        <v>Nov</v>
      </c>
      <c r="H182" s="51">
        <f t="shared" ca="1" si="5"/>
        <v>12</v>
      </c>
      <c r="I182" s="52" t="s">
        <v>257</v>
      </c>
      <c r="J182" s="53">
        <v>85130</v>
      </c>
      <c r="K182" s="54">
        <v>5</v>
      </c>
    </row>
    <row r="183" spans="1:11" x14ac:dyDescent="0.25">
      <c r="A183" s="39" t="s">
        <v>457</v>
      </c>
      <c r="B183" s="46" t="s">
        <v>271</v>
      </c>
      <c r="C183" s="39" t="s">
        <v>456</v>
      </c>
      <c r="D183" s="142">
        <v>643398021</v>
      </c>
      <c r="E183" s="39" t="s">
        <v>252</v>
      </c>
      <c r="F183" s="81">
        <v>36519</v>
      </c>
      <c r="G183" s="105" t="str">
        <f t="shared" si="4"/>
        <v>Dec</v>
      </c>
      <c r="H183" s="51">
        <f t="shared" ca="1" si="5"/>
        <v>16</v>
      </c>
      <c r="I183" s="52" t="s">
        <v>283</v>
      </c>
      <c r="J183" s="53">
        <v>61860</v>
      </c>
      <c r="K183" s="54">
        <v>5</v>
      </c>
    </row>
    <row r="184" spans="1:11" hidden="1" x14ac:dyDescent="0.25">
      <c r="A184" s="39" t="s">
        <v>585</v>
      </c>
      <c r="B184" s="46" t="s">
        <v>285</v>
      </c>
      <c r="C184" s="39" t="s">
        <v>465</v>
      </c>
      <c r="D184" s="142">
        <v>388927074</v>
      </c>
      <c r="E184" s="39" t="s">
        <v>256</v>
      </c>
      <c r="F184" s="81">
        <v>33613</v>
      </c>
      <c r="G184" s="105" t="str">
        <f t="shared" si="4"/>
        <v>Jan</v>
      </c>
      <c r="H184" s="51">
        <f t="shared" ca="1" si="5"/>
        <v>24</v>
      </c>
      <c r="I184" s="52" t="s">
        <v>586</v>
      </c>
      <c r="J184" s="53">
        <v>56900</v>
      </c>
      <c r="K184" s="54">
        <v>5</v>
      </c>
    </row>
    <row r="185" spans="1:11" x14ac:dyDescent="0.25">
      <c r="A185" s="39" t="s">
        <v>491</v>
      </c>
      <c r="B185" s="46" t="s">
        <v>271</v>
      </c>
      <c r="C185" s="39" t="s">
        <v>465</v>
      </c>
      <c r="D185" s="142">
        <v>489412017</v>
      </c>
      <c r="E185" s="39" t="s">
        <v>256</v>
      </c>
      <c r="F185" s="81">
        <v>33631</v>
      </c>
      <c r="G185" s="105" t="str">
        <f t="shared" si="4"/>
        <v>Jan</v>
      </c>
      <c r="H185" s="51">
        <f t="shared" ca="1" si="5"/>
        <v>24</v>
      </c>
      <c r="I185" s="52" t="s">
        <v>257</v>
      </c>
      <c r="J185" s="53">
        <v>52940</v>
      </c>
      <c r="K185" s="54">
        <v>4</v>
      </c>
    </row>
    <row r="186" spans="1:11" x14ac:dyDescent="0.25">
      <c r="A186" s="39" t="s">
        <v>577</v>
      </c>
      <c r="B186" s="46" t="s">
        <v>271</v>
      </c>
      <c r="C186" s="39" t="s">
        <v>465</v>
      </c>
      <c r="D186" s="142">
        <v>112137669</v>
      </c>
      <c r="E186" s="39" t="s">
        <v>247</v>
      </c>
      <c r="F186" s="81">
        <v>33979</v>
      </c>
      <c r="G186" s="105" t="str">
        <f t="shared" si="4"/>
        <v>Jan</v>
      </c>
      <c r="H186" s="51">
        <f t="shared" ca="1" si="5"/>
        <v>23</v>
      </c>
      <c r="I186" s="52"/>
      <c r="J186" s="53">
        <v>73990</v>
      </c>
      <c r="K186" s="54">
        <v>3</v>
      </c>
    </row>
    <row r="187" spans="1:11" x14ac:dyDescent="0.25">
      <c r="A187" s="39" t="s">
        <v>598</v>
      </c>
      <c r="B187" s="46" t="s">
        <v>271</v>
      </c>
      <c r="C187" s="39" t="s">
        <v>465</v>
      </c>
      <c r="D187" s="142">
        <v>307260353</v>
      </c>
      <c r="E187" s="39" t="s">
        <v>256</v>
      </c>
      <c r="F187" s="81">
        <v>33993</v>
      </c>
      <c r="G187" s="105" t="str">
        <f t="shared" si="4"/>
        <v>Jan</v>
      </c>
      <c r="H187" s="51">
        <f t="shared" ca="1" si="5"/>
        <v>23</v>
      </c>
      <c r="I187" s="52" t="s">
        <v>283</v>
      </c>
      <c r="J187" s="53">
        <v>45500</v>
      </c>
      <c r="K187" s="54">
        <v>3</v>
      </c>
    </row>
    <row r="188" spans="1:11" x14ac:dyDescent="0.25">
      <c r="A188" s="39" t="s">
        <v>542</v>
      </c>
      <c r="B188" s="46" t="s">
        <v>271</v>
      </c>
      <c r="C188" s="39" t="s">
        <v>465</v>
      </c>
      <c r="D188" s="142">
        <v>332778672</v>
      </c>
      <c r="E188" s="39" t="s">
        <v>247</v>
      </c>
      <c r="F188" s="81">
        <v>35451</v>
      </c>
      <c r="G188" s="105" t="str">
        <f t="shared" si="4"/>
        <v>Jan</v>
      </c>
      <c r="H188" s="51">
        <f t="shared" ca="1" si="5"/>
        <v>19</v>
      </c>
      <c r="I188" s="52"/>
      <c r="J188" s="53">
        <v>42150</v>
      </c>
      <c r="K188" s="54">
        <v>5</v>
      </c>
    </row>
    <row r="189" spans="1:11" hidden="1" x14ac:dyDescent="0.25">
      <c r="A189" s="39" t="s">
        <v>605</v>
      </c>
      <c r="B189" s="46" t="s">
        <v>251</v>
      </c>
      <c r="C189" s="39" t="s">
        <v>465</v>
      </c>
      <c r="D189" s="142">
        <v>359077899</v>
      </c>
      <c r="E189" s="39" t="s">
        <v>256</v>
      </c>
      <c r="F189" s="81">
        <v>35801</v>
      </c>
      <c r="G189" s="105" t="str">
        <f t="shared" si="4"/>
        <v>Jan</v>
      </c>
      <c r="H189" s="51">
        <f t="shared" ca="1" si="5"/>
        <v>18</v>
      </c>
      <c r="I189" s="52" t="s">
        <v>257</v>
      </c>
      <c r="J189" s="53">
        <v>78570</v>
      </c>
      <c r="K189" s="54">
        <v>1</v>
      </c>
    </row>
    <row r="190" spans="1:11" hidden="1" x14ac:dyDescent="0.25">
      <c r="A190" s="39" t="s">
        <v>471</v>
      </c>
      <c r="B190" s="46" t="s">
        <v>251</v>
      </c>
      <c r="C190" s="39" t="s">
        <v>465</v>
      </c>
      <c r="D190" s="142">
        <v>340046171</v>
      </c>
      <c r="E190" s="39" t="s">
        <v>261</v>
      </c>
      <c r="F190" s="81">
        <v>35807</v>
      </c>
      <c r="G190" s="105" t="str">
        <f t="shared" si="4"/>
        <v>Jan</v>
      </c>
      <c r="H190" s="51">
        <f t="shared" ca="1" si="5"/>
        <v>18</v>
      </c>
      <c r="I190" s="52" t="s">
        <v>257</v>
      </c>
      <c r="J190" s="53">
        <v>48835</v>
      </c>
      <c r="K190" s="54">
        <v>5</v>
      </c>
    </row>
    <row r="191" spans="1:11" x14ac:dyDescent="0.25">
      <c r="A191" s="39" t="s">
        <v>556</v>
      </c>
      <c r="B191" s="46" t="s">
        <v>271</v>
      </c>
      <c r="C191" s="39" t="s">
        <v>465</v>
      </c>
      <c r="D191" s="142">
        <v>951648305</v>
      </c>
      <c r="E191" s="39" t="s">
        <v>261</v>
      </c>
      <c r="F191" s="81">
        <v>36177</v>
      </c>
      <c r="G191" s="105" t="str">
        <f t="shared" si="4"/>
        <v>Jan</v>
      </c>
      <c r="H191" s="51">
        <f t="shared" ca="1" si="5"/>
        <v>17</v>
      </c>
      <c r="I191" s="52" t="s">
        <v>267</v>
      </c>
      <c r="J191" s="53">
        <v>21670</v>
      </c>
      <c r="K191" s="54">
        <v>2</v>
      </c>
    </row>
    <row r="192" spans="1:11" x14ac:dyDescent="0.25">
      <c r="A192" s="39" t="s">
        <v>569</v>
      </c>
      <c r="B192" s="46" t="s">
        <v>271</v>
      </c>
      <c r="C192" s="39" t="s">
        <v>465</v>
      </c>
      <c r="D192" s="142">
        <v>898542550</v>
      </c>
      <c r="E192" s="39" t="s">
        <v>256</v>
      </c>
      <c r="F192" s="81">
        <v>36535</v>
      </c>
      <c r="G192" s="105" t="str">
        <f t="shared" si="4"/>
        <v>Jan</v>
      </c>
      <c r="H192" s="51">
        <f t="shared" ca="1" si="5"/>
        <v>16</v>
      </c>
      <c r="I192" s="52" t="s">
        <v>257</v>
      </c>
      <c r="J192" s="53">
        <v>76192</v>
      </c>
      <c r="K192" s="54">
        <v>4</v>
      </c>
    </row>
    <row r="193" spans="1:11" hidden="1" x14ac:dyDescent="0.25">
      <c r="A193" s="39" t="s">
        <v>588</v>
      </c>
      <c r="B193" s="46" t="s">
        <v>285</v>
      </c>
      <c r="C193" s="39" t="s">
        <v>465</v>
      </c>
      <c r="D193" s="142">
        <v>926056673</v>
      </c>
      <c r="E193" s="39" t="s">
        <v>247</v>
      </c>
      <c r="F193" s="81">
        <v>37634</v>
      </c>
      <c r="G193" s="105" t="str">
        <f t="shared" si="4"/>
        <v>Jan</v>
      </c>
      <c r="H193" s="51">
        <f t="shared" ca="1" si="5"/>
        <v>13</v>
      </c>
      <c r="I193" s="52"/>
      <c r="J193" s="53">
        <v>61370</v>
      </c>
      <c r="K193" s="54">
        <v>3</v>
      </c>
    </row>
    <row r="194" spans="1:11" hidden="1" x14ac:dyDescent="0.25">
      <c r="A194" s="39" t="s">
        <v>499</v>
      </c>
      <c r="B194" s="46" t="s">
        <v>280</v>
      </c>
      <c r="C194" s="39" t="s">
        <v>465</v>
      </c>
      <c r="D194" s="142">
        <v>359916618</v>
      </c>
      <c r="E194" s="39" t="s">
        <v>256</v>
      </c>
      <c r="F194" s="81">
        <v>38377</v>
      </c>
      <c r="G194" s="105" t="str">
        <f t="shared" ref="G194:G257" si="6">CHOOSE(MONTH(F194),"Jan","Feb","Mar","Apr","May","Jun","Jul","Aug","Sep","Oct","Nov","Dec")</f>
        <v>Jan</v>
      </c>
      <c r="H194" s="51">
        <f t="shared" ref="H194:H257" ca="1" si="7">DATEDIF(F194,TODAY(),"Y")</f>
        <v>11</v>
      </c>
      <c r="I194" s="52" t="s">
        <v>257</v>
      </c>
      <c r="J194" s="53">
        <v>41060</v>
      </c>
      <c r="K194" s="54">
        <v>3</v>
      </c>
    </row>
    <row r="195" spans="1:11" hidden="1" x14ac:dyDescent="0.25">
      <c r="A195" s="39" t="s">
        <v>608</v>
      </c>
      <c r="B195" s="46" t="s">
        <v>285</v>
      </c>
      <c r="C195" s="39" t="s">
        <v>465</v>
      </c>
      <c r="D195" s="142">
        <v>918123448</v>
      </c>
      <c r="E195" s="39" t="s">
        <v>256</v>
      </c>
      <c r="F195" s="81">
        <v>38377</v>
      </c>
      <c r="G195" s="105" t="str">
        <f t="shared" si="6"/>
        <v>Jan</v>
      </c>
      <c r="H195" s="51">
        <f t="shared" ca="1" si="7"/>
        <v>11</v>
      </c>
      <c r="I195" s="52" t="s">
        <v>257</v>
      </c>
      <c r="J195" s="53">
        <v>87760</v>
      </c>
      <c r="K195" s="54">
        <v>1</v>
      </c>
    </row>
    <row r="196" spans="1:11" hidden="1" x14ac:dyDescent="0.25">
      <c r="A196" s="39" t="s">
        <v>507</v>
      </c>
      <c r="B196" s="46" t="s">
        <v>245</v>
      </c>
      <c r="C196" s="39" t="s">
        <v>465</v>
      </c>
      <c r="D196" s="142">
        <v>532017859</v>
      </c>
      <c r="E196" s="39" t="s">
        <v>256</v>
      </c>
      <c r="F196" s="81">
        <v>38733</v>
      </c>
      <c r="G196" s="105" t="str">
        <f t="shared" si="6"/>
        <v>Jan</v>
      </c>
      <c r="H196" s="51">
        <f t="shared" ca="1" si="7"/>
        <v>10</v>
      </c>
      <c r="I196" s="52" t="s">
        <v>276</v>
      </c>
      <c r="J196" s="53">
        <v>68710</v>
      </c>
      <c r="K196" s="54">
        <v>4</v>
      </c>
    </row>
    <row r="197" spans="1:11" hidden="1" x14ac:dyDescent="0.25">
      <c r="A197" s="39" t="s">
        <v>593</v>
      </c>
      <c r="B197" s="46" t="s">
        <v>245</v>
      </c>
      <c r="C197" s="39" t="s">
        <v>465</v>
      </c>
      <c r="D197" s="142">
        <v>634708460</v>
      </c>
      <c r="E197" s="39" t="s">
        <v>252</v>
      </c>
      <c r="F197" s="81">
        <v>39087</v>
      </c>
      <c r="G197" s="105" t="str">
        <f t="shared" si="6"/>
        <v>Jan</v>
      </c>
      <c r="H197" s="51">
        <f t="shared" ca="1" si="7"/>
        <v>9</v>
      </c>
      <c r="I197" s="52"/>
      <c r="J197" s="53">
        <v>14416</v>
      </c>
      <c r="K197" s="54">
        <v>4</v>
      </c>
    </row>
    <row r="198" spans="1:11" hidden="1" x14ac:dyDescent="0.25">
      <c r="A198" s="39" t="s">
        <v>501</v>
      </c>
      <c r="B198" s="46" t="s">
        <v>266</v>
      </c>
      <c r="C198" s="39" t="s">
        <v>465</v>
      </c>
      <c r="D198" s="142">
        <v>306612250</v>
      </c>
      <c r="E198" s="39" t="s">
        <v>256</v>
      </c>
      <c r="F198" s="81">
        <v>39455</v>
      </c>
      <c r="G198" s="105" t="str">
        <f t="shared" si="6"/>
        <v>Jan</v>
      </c>
      <c r="H198" s="51">
        <f t="shared" ca="1" si="7"/>
        <v>8</v>
      </c>
      <c r="I198" s="52" t="s">
        <v>283</v>
      </c>
      <c r="J198" s="53">
        <v>59420</v>
      </c>
      <c r="K198" s="54">
        <v>4</v>
      </c>
    </row>
    <row r="199" spans="1:11" hidden="1" x14ac:dyDescent="0.25">
      <c r="A199" s="39" t="s">
        <v>500</v>
      </c>
      <c r="B199" s="46" t="s">
        <v>245</v>
      </c>
      <c r="C199" s="39" t="s">
        <v>465</v>
      </c>
      <c r="D199" s="142">
        <v>683673351</v>
      </c>
      <c r="E199" s="39" t="s">
        <v>247</v>
      </c>
      <c r="F199" s="81">
        <v>39822</v>
      </c>
      <c r="G199" s="105" t="str">
        <f t="shared" si="6"/>
        <v>Jan</v>
      </c>
      <c r="H199" s="51">
        <f t="shared" ca="1" si="7"/>
        <v>7</v>
      </c>
      <c r="I199" s="52"/>
      <c r="J199" s="53">
        <v>60040</v>
      </c>
      <c r="K199" s="54">
        <v>5</v>
      </c>
    </row>
    <row r="200" spans="1:11" hidden="1" x14ac:dyDescent="0.25">
      <c r="A200" s="39" t="s">
        <v>589</v>
      </c>
      <c r="B200" s="46" t="s">
        <v>245</v>
      </c>
      <c r="C200" s="39" t="s">
        <v>465</v>
      </c>
      <c r="D200" s="142">
        <v>126661983</v>
      </c>
      <c r="E200" s="39" t="s">
        <v>247</v>
      </c>
      <c r="F200" s="81">
        <v>39830</v>
      </c>
      <c r="G200" s="105" t="str">
        <f t="shared" si="6"/>
        <v>Jan</v>
      </c>
      <c r="H200" s="51">
        <f t="shared" ca="1" si="7"/>
        <v>7</v>
      </c>
      <c r="I200" s="52"/>
      <c r="J200" s="53">
        <v>78520</v>
      </c>
      <c r="K200" s="54">
        <v>4</v>
      </c>
    </row>
    <row r="201" spans="1:11" hidden="1" x14ac:dyDescent="0.25">
      <c r="A201" s="39" t="s">
        <v>547</v>
      </c>
      <c r="B201" s="46" t="s">
        <v>285</v>
      </c>
      <c r="C201" s="39" t="s">
        <v>465</v>
      </c>
      <c r="D201" s="142">
        <v>468814781</v>
      </c>
      <c r="E201" s="39" t="s">
        <v>256</v>
      </c>
      <c r="F201" s="81">
        <v>40203</v>
      </c>
      <c r="G201" s="105" t="str">
        <f t="shared" si="6"/>
        <v>Jan</v>
      </c>
      <c r="H201" s="51">
        <f t="shared" ca="1" si="7"/>
        <v>6</v>
      </c>
      <c r="I201" s="52" t="s">
        <v>257</v>
      </c>
      <c r="J201" s="53">
        <v>35600</v>
      </c>
      <c r="K201" s="54">
        <v>5</v>
      </c>
    </row>
    <row r="202" spans="1:11" x14ac:dyDescent="0.25">
      <c r="A202" s="39" t="s">
        <v>485</v>
      </c>
      <c r="B202" s="46" t="s">
        <v>271</v>
      </c>
      <c r="C202" s="39" t="s">
        <v>465</v>
      </c>
      <c r="D202" s="142">
        <v>399691239</v>
      </c>
      <c r="E202" s="39" t="s">
        <v>252</v>
      </c>
      <c r="F202" s="81">
        <v>40574</v>
      </c>
      <c r="G202" s="105" t="str">
        <f t="shared" si="6"/>
        <v>Jan</v>
      </c>
      <c r="H202" s="51">
        <f t="shared" ca="1" si="7"/>
        <v>5</v>
      </c>
      <c r="I202" s="52"/>
      <c r="J202" s="53">
        <v>28424</v>
      </c>
      <c r="K202" s="54">
        <v>4</v>
      </c>
    </row>
    <row r="203" spans="1:11" x14ac:dyDescent="0.25">
      <c r="A203" s="39" t="s">
        <v>529</v>
      </c>
      <c r="B203" s="46" t="s">
        <v>271</v>
      </c>
      <c r="C203" s="39" t="s">
        <v>465</v>
      </c>
      <c r="D203" s="142">
        <v>755781501</v>
      </c>
      <c r="E203" s="39" t="s">
        <v>256</v>
      </c>
      <c r="F203" s="81">
        <v>33648</v>
      </c>
      <c r="G203" s="105" t="str">
        <f t="shared" si="6"/>
        <v>Feb</v>
      </c>
      <c r="H203" s="51">
        <f t="shared" ca="1" si="7"/>
        <v>24</v>
      </c>
      <c r="I203" s="52" t="s">
        <v>276</v>
      </c>
      <c r="J203" s="53">
        <v>60380</v>
      </c>
      <c r="K203" s="54">
        <v>4</v>
      </c>
    </row>
    <row r="204" spans="1:11" hidden="1" x14ac:dyDescent="0.25">
      <c r="A204" s="39" t="s">
        <v>559</v>
      </c>
      <c r="B204" s="46" t="s">
        <v>245</v>
      </c>
      <c r="C204" s="39" t="s">
        <v>465</v>
      </c>
      <c r="D204" s="142">
        <v>959095564</v>
      </c>
      <c r="E204" s="39" t="s">
        <v>252</v>
      </c>
      <c r="F204" s="81">
        <v>35829</v>
      </c>
      <c r="G204" s="105" t="str">
        <f t="shared" si="6"/>
        <v>Feb</v>
      </c>
      <c r="H204" s="51">
        <f t="shared" ca="1" si="7"/>
        <v>18</v>
      </c>
      <c r="I204" s="52"/>
      <c r="J204" s="53">
        <v>29176</v>
      </c>
      <c r="K204" s="54">
        <v>3</v>
      </c>
    </row>
    <row r="205" spans="1:11" hidden="1" x14ac:dyDescent="0.25">
      <c r="A205" s="39" t="s">
        <v>609</v>
      </c>
      <c r="B205" s="46" t="s">
        <v>266</v>
      </c>
      <c r="C205" s="39" t="s">
        <v>465</v>
      </c>
      <c r="D205" s="142">
        <v>556225705</v>
      </c>
      <c r="E205" s="39" t="s">
        <v>256</v>
      </c>
      <c r="F205" s="81">
        <v>35830</v>
      </c>
      <c r="G205" s="105" t="str">
        <f t="shared" si="6"/>
        <v>Feb</v>
      </c>
      <c r="H205" s="51">
        <f t="shared" ca="1" si="7"/>
        <v>18</v>
      </c>
      <c r="I205" s="52" t="s">
        <v>267</v>
      </c>
      <c r="J205" s="53">
        <v>35460</v>
      </c>
      <c r="K205" s="54">
        <v>5</v>
      </c>
    </row>
    <row r="206" spans="1:11" hidden="1" x14ac:dyDescent="0.25">
      <c r="A206" s="39" t="s">
        <v>486</v>
      </c>
      <c r="B206" s="46" t="s">
        <v>251</v>
      </c>
      <c r="C206" s="39" t="s">
        <v>465</v>
      </c>
      <c r="D206" s="142">
        <v>891372488</v>
      </c>
      <c r="E206" s="39" t="s">
        <v>256</v>
      </c>
      <c r="F206" s="81">
        <v>36198</v>
      </c>
      <c r="G206" s="105" t="str">
        <f t="shared" si="6"/>
        <v>Feb</v>
      </c>
      <c r="H206" s="51">
        <f t="shared" ca="1" si="7"/>
        <v>17</v>
      </c>
      <c r="I206" s="52" t="s">
        <v>276</v>
      </c>
      <c r="J206" s="53">
        <v>81400</v>
      </c>
      <c r="K206" s="54">
        <v>2</v>
      </c>
    </row>
    <row r="207" spans="1:11" hidden="1" x14ac:dyDescent="0.25">
      <c r="A207" s="39" t="s">
        <v>489</v>
      </c>
      <c r="B207" s="46" t="s">
        <v>285</v>
      </c>
      <c r="C207" s="39" t="s">
        <v>465</v>
      </c>
      <c r="D207" s="142">
        <v>156666486</v>
      </c>
      <c r="E207" s="39" t="s">
        <v>247</v>
      </c>
      <c r="F207" s="81">
        <v>38044</v>
      </c>
      <c r="G207" s="105" t="str">
        <f t="shared" si="6"/>
        <v>Feb</v>
      </c>
      <c r="H207" s="51">
        <f t="shared" ca="1" si="7"/>
        <v>12</v>
      </c>
      <c r="I207" s="52"/>
      <c r="J207" s="53">
        <v>57410</v>
      </c>
      <c r="K207" s="54">
        <v>2</v>
      </c>
    </row>
    <row r="208" spans="1:11" hidden="1" x14ac:dyDescent="0.25">
      <c r="A208" s="39" t="s">
        <v>481</v>
      </c>
      <c r="B208" s="46" t="s">
        <v>245</v>
      </c>
      <c r="C208" s="39" t="s">
        <v>465</v>
      </c>
      <c r="D208" s="142">
        <v>949120892</v>
      </c>
      <c r="E208" s="39" t="s">
        <v>256</v>
      </c>
      <c r="F208" s="81">
        <v>40578</v>
      </c>
      <c r="G208" s="105" t="str">
        <f t="shared" si="6"/>
        <v>Feb</v>
      </c>
      <c r="H208" s="51">
        <f t="shared" ca="1" si="7"/>
        <v>5</v>
      </c>
      <c r="I208" s="52" t="s">
        <v>257</v>
      </c>
      <c r="J208" s="53">
        <v>43820</v>
      </c>
      <c r="K208" s="54">
        <v>2</v>
      </c>
    </row>
    <row r="209" spans="1:11" hidden="1" x14ac:dyDescent="0.25">
      <c r="A209" s="39" t="s">
        <v>474</v>
      </c>
      <c r="B209" s="46" t="s">
        <v>251</v>
      </c>
      <c r="C209" s="39" t="s">
        <v>465</v>
      </c>
      <c r="D209" s="142">
        <v>825315627</v>
      </c>
      <c r="E209" s="39" t="s">
        <v>247</v>
      </c>
      <c r="F209" s="81">
        <v>34031</v>
      </c>
      <c r="G209" s="105" t="str">
        <f t="shared" si="6"/>
        <v>Mar</v>
      </c>
      <c r="H209" s="51">
        <f t="shared" ca="1" si="7"/>
        <v>23</v>
      </c>
      <c r="I209" s="52"/>
      <c r="J209" s="53">
        <v>64430</v>
      </c>
      <c r="K209" s="54">
        <v>4</v>
      </c>
    </row>
    <row r="210" spans="1:11" hidden="1" x14ac:dyDescent="0.25">
      <c r="A210" s="39" t="s">
        <v>565</v>
      </c>
      <c r="B210" s="46" t="s">
        <v>245</v>
      </c>
      <c r="C210" s="39" t="s">
        <v>465</v>
      </c>
      <c r="D210" s="142">
        <v>141405985</v>
      </c>
      <c r="E210" s="39" t="s">
        <v>247</v>
      </c>
      <c r="F210" s="81">
        <v>34053</v>
      </c>
      <c r="G210" s="105" t="str">
        <f t="shared" si="6"/>
        <v>Mar</v>
      </c>
      <c r="H210" s="51">
        <f t="shared" ca="1" si="7"/>
        <v>23</v>
      </c>
      <c r="I210" s="52"/>
      <c r="J210" s="53">
        <v>79220</v>
      </c>
      <c r="K210" s="54">
        <v>4</v>
      </c>
    </row>
    <row r="211" spans="1:11" x14ac:dyDescent="0.25">
      <c r="A211" s="39" t="s">
        <v>518</v>
      </c>
      <c r="B211" s="46" t="s">
        <v>271</v>
      </c>
      <c r="C211" s="39" t="s">
        <v>465</v>
      </c>
      <c r="D211" s="142">
        <v>773946427</v>
      </c>
      <c r="E211" s="39" t="s">
        <v>256</v>
      </c>
      <c r="F211" s="81">
        <v>34404</v>
      </c>
      <c r="G211" s="105" t="str">
        <f t="shared" si="6"/>
        <v>Mar</v>
      </c>
      <c r="H211" s="51">
        <f t="shared" ca="1" si="7"/>
        <v>22</v>
      </c>
      <c r="I211" s="52" t="s">
        <v>283</v>
      </c>
      <c r="J211" s="53">
        <v>24710</v>
      </c>
      <c r="K211" s="54">
        <v>2</v>
      </c>
    </row>
    <row r="212" spans="1:11" hidden="1" x14ac:dyDescent="0.25">
      <c r="A212" s="39" t="s">
        <v>582</v>
      </c>
      <c r="B212" s="46" t="s">
        <v>251</v>
      </c>
      <c r="C212" s="39" t="s">
        <v>465</v>
      </c>
      <c r="D212" s="142">
        <v>536599126</v>
      </c>
      <c r="E212" s="39" t="s">
        <v>256</v>
      </c>
      <c r="F212" s="81">
        <v>34785</v>
      </c>
      <c r="G212" s="105" t="str">
        <f t="shared" si="6"/>
        <v>Mar</v>
      </c>
      <c r="H212" s="51">
        <f t="shared" ca="1" si="7"/>
        <v>21</v>
      </c>
      <c r="I212" s="52" t="s">
        <v>257</v>
      </c>
      <c r="J212" s="53">
        <v>24300</v>
      </c>
      <c r="K212" s="54">
        <v>3</v>
      </c>
    </row>
    <row r="213" spans="1:11" hidden="1" x14ac:dyDescent="0.25">
      <c r="A213" s="39" t="s">
        <v>595</v>
      </c>
      <c r="B213" s="46" t="s">
        <v>245</v>
      </c>
      <c r="C213" s="39" t="s">
        <v>465</v>
      </c>
      <c r="D213" s="142">
        <v>691396332</v>
      </c>
      <c r="E213" s="39" t="s">
        <v>252</v>
      </c>
      <c r="F213" s="81">
        <v>35490</v>
      </c>
      <c r="G213" s="105" t="str">
        <f t="shared" si="6"/>
        <v>Mar</v>
      </c>
      <c r="H213" s="51">
        <f t="shared" ca="1" si="7"/>
        <v>19</v>
      </c>
      <c r="I213" s="52"/>
      <c r="J213" s="53">
        <v>22472</v>
      </c>
      <c r="K213" s="54">
        <v>1</v>
      </c>
    </row>
    <row r="214" spans="1:11" hidden="1" x14ac:dyDescent="0.25">
      <c r="A214" s="39" t="s">
        <v>477</v>
      </c>
      <c r="B214" s="46" t="s">
        <v>245</v>
      </c>
      <c r="C214" s="39" t="s">
        <v>465</v>
      </c>
      <c r="D214" s="142">
        <v>863702508</v>
      </c>
      <c r="E214" s="39" t="s">
        <v>256</v>
      </c>
      <c r="F214" s="81">
        <v>35511</v>
      </c>
      <c r="G214" s="105" t="str">
        <f t="shared" si="6"/>
        <v>Mar</v>
      </c>
      <c r="H214" s="51">
        <f t="shared" ca="1" si="7"/>
        <v>19</v>
      </c>
      <c r="I214" s="52" t="s">
        <v>283</v>
      </c>
      <c r="J214" s="53">
        <v>73144</v>
      </c>
      <c r="K214" s="54">
        <v>5</v>
      </c>
    </row>
    <row r="215" spans="1:11" x14ac:dyDescent="0.25">
      <c r="A215" s="39" t="s">
        <v>464</v>
      </c>
      <c r="B215" s="46" t="s">
        <v>271</v>
      </c>
      <c r="C215" s="39" t="s">
        <v>465</v>
      </c>
      <c r="D215" s="142">
        <v>547179168</v>
      </c>
      <c r="E215" s="39" t="s">
        <v>256</v>
      </c>
      <c r="F215" s="81">
        <v>35520</v>
      </c>
      <c r="G215" s="105" t="str">
        <f t="shared" si="6"/>
        <v>Mar</v>
      </c>
      <c r="H215" s="51">
        <f t="shared" ca="1" si="7"/>
        <v>19</v>
      </c>
      <c r="I215" s="52" t="s">
        <v>257</v>
      </c>
      <c r="J215" s="53">
        <v>79730</v>
      </c>
      <c r="K215" s="54">
        <v>2</v>
      </c>
    </row>
    <row r="216" spans="1:11" hidden="1" x14ac:dyDescent="0.25">
      <c r="A216" s="39" t="s">
        <v>494</v>
      </c>
      <c r="B216" s="46" t="s">
        <v>280</v>
      </c>
      <c r="C216" s="39" t="s">
        <v>465</v>
      </c>
      <c r="D216" s="142">
        <v>645259793</v>
      </c>
      <c r="E216" s="39" t="s">
        <v>247</v>
      </c>
      <c r="F216" s="81">
        <v>36600</v>
      </c>
      <c r="G216" s="105" t="str">
        <f t="shared" si="6"/>
        <v>Mar</v>
      </c>
      <c r="H216" s="51">
        <f t="shared" ca="1" si="7"/>
        <v>16</v>
      </c>
      <c r="I216" s="52"/>
      <c r="J216" s="53">
        <v>41840</v>
      </c>
      <c r="K216" s="54">
        <v>2</v>
      </c>
    </row>
    <row r="217" spans="1:11" hidden="1" x14ac:dyDescent="0.25">
      <c r="A217" s="39" t="s">
        <v>476</v>
      </c>
      <c r="B217" s="46" t="s">
        <v>285</v>
      </c>
      <c r="C217" s="39" t="s">
        <v>465</v>
      </c>
      <c r="D217" s="142">
        <v>971001952</v>
      </c>
      <c r="E217" s="39" t="s">
        <v>261</v>
      </c>
      <c r="F217" s="81">
        <v>36604</v>
      </c>
      <c r="G217" s="105" t="str">
        <f t="shared" si="6"/>
        <v>Mar</v>
      </c>
      <c r="H217" s="51">
        <f t="shared" ca="1" si="7"/>
        <v>16</v>
      </c>
      <c r="I217" s="52" t="s">
        <v>283</v>
      </c>
      <c r="J217" s="53">
        <v>46710</v>
      </c>
      <c r="K217" s="54">
        <v>3</v>
      </c>
    </row>
    <row r="218" spans="1:11" hidden="1" x14ac:dyDescent="0.25">
      <c r="A218" s="39" t="s">
        <v>540</v>
      </c>
      <c r="B218" s="46" t="s">
        <v>285</v>
      </c>
      <c r="C218" s="39" t="s">
        <v>465</v>
      </c>
      <c r="D218" s="142">
        <v>280003550</v>
      </c>
      <c r="E218" s="39" t="s">
        <v>247</v>
      </c>
      <c r="F218" s="81">
        <v>36977</v>
      </c>
      <c r="G218" s="105" t="str">
        <f t="shared" si="6"/>
        <v>Mar</v>
      </c>
      <c r="H218" s="51">
        <f t="shared" ca="1" si="7"/>
        <v>15</v>
      </c>
      <c r="I218" s="52"/>
      <c r="J218" s="53">
        <v>68510</v>
      </c>
      <c r="K218" s="54">
        <v>5</v>
      </c>
    </row>
    <row r="219" spans="1:11" hidden="1" x14ac:dyDescent="0.25">
      <c r="A219" s="39" t="s">
        <v>590</v>
      </c>
      <c r="B219" s="46" t="s">
        <v>251</v>
      </c>
      <c r="C219" s="39" t="s">
        <v>465</v>
      </c>
      <c r="D219" s="142">
        <v>359672908</v>
      </c>
      <c r="E219" s="39" t="s">
        <v>247</v>
      </c>
      <c r="F219" s="81">
        <v>37326</v>
      </c>
      <c r="G219" s="105" t="str">
        <f t="shared" si="6"/>
        <v>Mar</v>
      </c>
      <c r="H219" s="51">
        <f t="shared" ca="1" si="7"/>
        <v>14</v>
      </c>
      <c r="I219" s="52"/>
      <c r="J219" s="53">
        <v>52770</v>
      </c>
      <c r="K219" s="54">
        <v>2</v>
      </c>
    </row>
    <row r="220" spans="1:11" x14ac:dyDescent="0.25">
      <c r="A220" s="39" t="s">
        <v>602</v>
      </c>
      <c r="B220" s="46" t="s">
        <v>271</v>
      </c>
      <c r="C220" s="39" t="s">
        <v>465</v>
      </c>
      <c r="D220" s="142">
        <v>520887092</v>
      </c>
      <c r="E220" s="39" t="s">
        <v>256</v>
      </c>
      <c r="F220" s="81">
        <v>37331</v>
      </c>
      <c r="G220" s="105" t="str">
        <f t="shared" si="6"/>
        <v>Mar</v>
      </c>
      <c r="H220" s="51">
        <f t="shared" ca="1" si="7"/>
        <v>14</v>
      </c>
      <c r="I220" s="52" t="s">
        <v>283</v>
      </c>
      <c r="J220" s="53">
        <v>62750</v>
      </c>
      <c r="K220" s="54">
        <v>3</v>
      </c>
    </row>
    <row r="221" spans="1:11" hidden="1" x14ac:dyDescent="0.25">
      <c r="A221" s="39" t="s">
        <v>587</v>
      </c>
      <c r="B221" s="46" t="s">
        <v>285</v>
      </c>
      <c r="C221" s="39" t="s">
        <v>465</v>
      </c>
      <c r="D221" s="142">
        <v>799114221</v>
      </c>
      <c r="E221" s="39" t="s">
        <v>247</v>
      </c>
      <c r="F221" s="81">
        <v>38073</v>
      </c>
      <c r="G221" s="105" t="str">
        <f t="shared" si="6"/>
        <v>Mar</v>
      </c>
      <c r="H221" s="51">
        <f t="shared" ca="1" si="7"/>
        <v>12</v>
      </c>
      <c r="I221" s="52"/>
      <c r="J221" s="53">
        <v>39300</v>
      </c>
      <c r="K221" s="54">
        <v>2</v>
      </c>
    </row>
    <row r="222" spans="1:11" hidden="1" x14ac:dyDescent="0.25">
      <c r="A222" s="39" t="s">
        <v>475</v>
      </c>
      <c r="B222" s="46" t="s">
        <v>245</v>
      </c>
      <c r="C222" s="39" t="s">
        <v>465</v>
      </c>
      <c r="D222" s="142">
        <v>399534023</v>
      </c>
      <c r="E222" s="39" t="s">
        <v>247</v>
      </c>
      <c r="F222" s="81">
        <v>39538</v>
      </c>
      <c r="G222" s="105" t="str">
        <f t="shared" si="6"/>
        <v>Mar</v>
      </c>
      <c r="H222" s="51">
        <f t="shared" ca="1" si="7"/>
        <v>8</v>
      </c>
      <c r="I222" s="52"/>
      <c r="J222" s="53">
        <v>62780</v>
      </c>
      <c r="K222" s="54">
        <v>4</v>
      </c>
    </row>
    <row r="223" spans="1:11" hidden="1" x14ac:dyDescent="0.25">
      <c r="A223" s="39" t="s">
        <v>520</v>
      </c>
      <c r="B223" s="46" t="s">
        <v>285</v>
      </c>
      <c r="C223" s="39" t="s">
        <v>465</v>
      </c>
      <c r="D223" s="142">
        <v>166595911</v>
      </c>
      <c r="E223" s="39" t="s">
        <v>256</v>
      </c>
      <c r="F223" s="103">
        <v>40603</v>
      </c>
      <c r="G223" s="105" t="str">
        <f t="shared" si="6"/>
        <v>Mar</v>
      </c>
      <c r="H223" s="51">
        <f t="shared" ca="1" si="7"/>
        <v>5</v>
      </c>
      <c r="I223" s="52" t="s">
        <v>267</v>
      </c>
      <c r="J223" s="53">
        <v>44260</v>
      </c>
      <c r="K223" s="54">
        <v>1</v>
      </c>
    </row>
    <row r="224" spans="1:11" hidden="1" x14ac:dyDescent="0.25">
      <c r="A224" s="39" t="s">
        <v>523</v>
      </c>
      <c r="B224" s="46" t="s">
        <v>245</v>
      </c>
      <c r="C224" s="39" t="s">
        <v>465</v>
      </c>
      <c r="D224" s="142">
        <v>577770133</v>
      </c>
      <c r="E224" s="39" t="s">
        <v>256</v>
      </c>
      <c r="F224" s="81">
        <v>33720</v>
      </c>
      <c r="G224" s="105" t="str">
        <f t="shared" si="6"/>
        <v>Apr</v>
      </c>
      <c r="H224" s="51">
        <f t="shared" ca="1" si="7"/>
        <v>24</v>
      </c>
      <c r="I224" s="52" t="s">
        <v>283</v>
      </c>
      <c r="J224" s="53">
        <v>58910</v>
      </c>
      <c r="K224" s="54">
        <v>1</v>
      </c>
    </row>
    <row r="225" spans="1:11" x14ac:dyDescent="0.25">
      <c r="A225" s="39" t="s">
        <v>519</v>
      </c>
      <c r="B225" s="46" t="s">
        <v>271</v>
      </c>
      <c r="C225" s="39" t="s">
        <v>465</v>
      </c>
      <c r="D225" s="142">
        <v>561988416</v>
      </c>
      <c r="E225" s="39" t="s">
        <v>256</v>
      </c>
      <c r="F225" s="81">
        <v>33721</v>
      </c>
      <c r="G225" s="105" t="str">
        <f t="shared" si="6"/>
        <v>Apr</v>
      </c>
      <c r="H225" s="51">
        <f t="shared" ca="1" si="7"/>
        <v>24</v>
      </c>
      <c r="I225" s="52" t="s">
        <v>283</v>
      </c>
      <c r="J225" s="53">
        <v>26190</v>
      </c>
      <c r="K225" s="54">
        <v>5</v>
      </c>
    </row>
    <row r="226" spans="1:11" hidden="1" x14ac:dyDescent="0.25">
      <c r="A226" s="39" t="s">
        <v>487</v>
      </c>
      <c r="B226" s="46" t="s">
        <v>280</v>
      </c>
      <c r="C226" s="39" t="s">
        <v>465</v>
      </c>
      <c r="D226" s="142">
        <v>689224971</v>
      </c>
      <c r="E226" s="39" t="s">
        <v>256</v>
      </c>
      <c r="F226" s="81">
        <v>34068</v>
      </c>
      <c r="G226" s="105" t="str">
        <f t="shared" si="6"/>
        <v>Apr</v>
      </c>
      <c r="H226" s="51">
        <f t="shared" ca="1" si="7"/>
        <v>23</v>
      </c>
      <c r="I226" s="52" t="s">
        <v>283</v>
      </c>
      <c r="J226" s="53">
        <v>23330</v>
      </c>
      <c r="K226" s="54">
        <v>4</v>
      </c>
    </row>
    <row r="227" spans="1:11" x14ac:dyDescent="0.25">
      <c r="A227" s="39" t="s">
        <v>548</v>
      </c>
      <c r="B227" s="46" t="s">
        <v>271</v>
      </c>
      <c r="C227" s="39" t="s">
        <v>465</v>
      </c>
      <c r="D227" s="142">
        <v>421689914</v>
      </c>
      <c r="E227" s="39" t="s">
        <v>247</v>
      </c>
      <c r="F227" s="81">
        <v>34425</v>
      </c>
      <c r="G227" s="105" t="str">
        <f t="shared" si="6"/>
        <v>Apr</v>
      </c>
      <c r="H227" s="51">
        <f t="shared" ca="1" si="7"/>
        <v>22</v>
      </c>
      <c r="I227" s="52"/>
      <c r="J227" s="53">
        <v>63310</v>
      </c>
      <c r="K227" s="54">
        <v>3</v>
      </c>
    </row>
    <row r="228" spans="1:11" x14ac:dyDescent="0.25">
      <c r="A228" s="39" t="s">
        <v>599</v>
      </c>
      <c r="B228" s="46" t="s">
        <v>271</v>
      </c>
      <c r="C228" s="39" t="s">
        <v>465</v>
      </c>
      <c r="D228" s="142">
        <v>275944402</v>
      </c>
      <c r="E228" s="39" t="s">
        <v>256</v>
      </c>
      <c r="F228" s="81">
        <v>35156</v>
      </c>
      <c r="G228" s="105" t="str">
        <f t="shared" si="6"/>
        <v>Apr</v>
      </c>
      <c r="H228" s="51">
        <f t="shared" ca="1" si="7"/>
        <v>20</v>
      </c>
      <c r="I228" s="52" t="s">
        <v>283</v>
      </c>
      <c r="J228" s="53">
        <v>86260</v>
      </c>
      <c r="K228" s="54">
        <v>3</v>
      </c>
    </row>
    <row r="229" spans="1:11" hidden="1" x14ac:dyDescent="0.25">
      <c r="A229" s="39" t="s">
        <v>530</v>
      </c>
      <c r="B229" s="46" t="s">
        <v>285</v>
      </c>
      <c r="C229" s="39" t="s">
        <v>465</v>
      </c>
      <c r="D229" s="142">
        <v>354930015</v>
      </c>
      <c r="E229" s="39" t="s">
        <v>247</v>
      </c>
      <c r="F229" s="81">
        <v>35185</v>
      </c>
      <c r="G229" s="105" t="str">
        <f t="shared" si="6"/>
        <v>Apr</v>
      </c>
      <c r="H229" s="51">
        <f t="shared" ca="1" si="7"/>
        <v>20</v>
      </c>
      <c r="I229" s="52"/>
      <c r="J229" s="53">
        <v>24410</v>
      </c>
      <c r="K229" s="54">
        <v>3</v>
      </c>
    </row>
    <row r="230" spans="1:11" hidden="1" x14ac:dyDescent="0.25">
      <c r="A230" s="39" t="s">
        <v>513</v>
      </c>
      <c r="B230" s="46" t="s">
        <v>285</v>
      </c>
      <c r="C230" s="39" t="s">
        <v>465</v>
      </c>
      <c r="D230" s="142">
        <v>631577683</v>
      </c>
      <c r="E230" s="39" t="s">
        <v>256</v>
      </c>
      <c r="F230" s="81">
        <v>35526</v>
      </c>
      <c r="G230" s="105" t="str">
        <f t="shared" si="6"/>
        <v>Apr</v>
      </c>
      <c r="H230" s="51">
        <f t="shared" ca="1" si="7"/>
        <v>19</v>
      </c>
      <c r="I230" s="52" t="s">
        <v>283</v>
      </c>
      <c r="J230" s="53">
        <v>32390</v>
      </c>
      <c r="K230" s="54">
        <v>2</v>
      </c>
    </row>
    <row r="231" spans="1:11" hidden="1" x14ac:dyDescent="0.25">
      <c r="A231" s="39" t="s">
        <v>533</v>
      </c>
      <c r="B231" s="46" t="s">
        <v>280</v>
      </c>
      <c r="C231" s="39" t="s">
        <v>465</v>
      </c>
      <c r="D231" s="142">
        <v>680376724</v>
      </c>
      <c r="E231" s="39" t="s">
        <v>256</v>
      </c>
      <c r="F231" s="81">
        <v>35529</v>
      </c>
      <c r="G231" s="105" t="str">
        <f t="shared" si="6"/>
        <v>Apr</v>
      </c>
      <c r="H231" s="51">
        <f t="shared" ca="1" si="7"/>
        <v>19</v>
      </c>
      <c r="I231" s="52" t="s">
        <v>267</v>
      </c>
      <c r="J231" s="53">
        <v>44920</v>
      </c>
      <c r="K231" s="54">
        <v>1</v>
      </c>
    </row>
    <row r="232" spans="1:11" x14ac:dyDescent="0.25">
      <c r="A232" s="39" t="s">
        <v>517</v>
      </c>
      <c r="B232" s="46" t="s">
        <v>271</v>
      </c>
      <c r="C232" s="39" t="s">
        <v>465</v>
      </c>
      <c r="D232" s="142">
        <v>731041998</v>
      </c>
      <c r="E232" s="39" t="s">
        <v>261</v>
      </c>
      <c r="F232" s="81">
        <v>36269</v>
      </c>
      <c r="G232" s="105" t="str">
        <f t="shared" si="6"/>
        <v>Apr</v>
      </c>
      <c r="H232" s="51">
        <f t="shared" ca="1" si="7"/>
        <v>17</v>
      </c>
      <c r="I232" s="52" t="s">
        <v>283</v>
      </c>
      <c r="J232" s="53">
        <v>48190</v>
      </c>
      <c r="K232" s="54">
        <v>1</v>
      </c>
    </row>
    <row r="233" spans="1:11" x14ac:dyDescent="0.25">
      <c r="A233" s="39" t="s">
        <v>616</v>
      </c>
      <c r="B233" s="46" t="s">
        <v>271</v>
      </c>
      <c r="C233" s="39" t="s">
        <v>465</v>
      </c>
      <c r="D233" s="142">
        <v>631010983</v>
      </c>
      <c r="E233" s="39" t="s">
        <v>256</v>
      </c>
      <c r="F233" s="81">
        <v>36273</v>
      </c>
      <c r="G233" s="105" t="str">
        <f t="shared" si="6"/>
        <v>Apr</v>
      </c>
      <c r="H233" s="51">
        <f t="shared" ca="1" si="7"/>
        <v>17</v>
      </c>
      <c r="I233" s="52" t="s">
        <v>283</v>
      </c>
      <c r="J233" s="53">
        <v>61330</v>
      </c>
      <c r="K233" s="54">
        <v>4</v>
      </c>
    </row>
    <row r="234" spans="1:11" x14ac:dyDescent="0.25">
      <c r="A234" s="39" t="s">
        <v>594</v>
      </c>
      <c r="B234" s="46" t="s">
        <v>271</v>
      </c>
      <c r="C234" s="39" t="s">
        <v>465</v>
      </c>
      <c r="D234" s="142">
        <v>331793667</v>
      </c>
      <c r="E234" s="39" t="s">
        <v>247</v>
      </c>
      <c r="F234" s="81">
        <v>36637</v>
      </c>
      <c r="G234" s="105" t="str">
        <f t="shared" si="6"/>
        <v>Apr</v>
      </c>
      <c r="H234" s="51">
        <f t="shared" ca="1" si="7"/>
        <v>16</v>
      </c>
      <c r="I234" s="52"/>
      <c r="J234" s="53">
        <v>57600</v>
      </c>
      <c r="K234" s="54">
        <v>3</v>
      </c>
    </row>
    <row r="235" spans="1:11" hidden="1" x14ac:dyDescent="0.25">
      <c r="A235" s="39" t="s">
        <v>506</v>
      </c>
      <c r="B235" s="46" t="s">
        <v>285</v>
      </c>
      <c r="C235" s="39" t="s">
        <v>465</v>
      </c>
      <c r="D235" s="142">
        <v>149140570</v>
      </c>
      <c r="E235" s="39" t="s">
        <v>252</v>
      </c>
      <c r="F235" s="81">
        <v>37730</v>
      </c>
      <c r="G235" s="105" t="str">
        <f t="shared" si="6"/>
        <v>Apr</v>
      </c>
      <c r="H235" s="51">
        <f t="shared" ca="1" si="7"/>
        <v>13</v>
      </c>
      <c r="I235" s="52"/>
      <c r="J235" s="53">
        <v>8892</v>
      </c>
      <c r="K235" s="54">
        <v>1</v>
      </c>
    </row>
    <row r="236" spans="1:11" hidden="1" x14ac:dyDescent="0.25">
      <c r="A236" s="39" t="s">
        <v>525</v>
      </c>
      <c r="B236" s="46" t="s">
        <v>245</v>
      </c>
      <c r="C236" s="39" t="s">
        <v>465</v>
      </c>
      <c r="D236" s="142">
        <v>914834381</v>
      </c>
      <c r="E236" s="39" t="s">
        <v>256</v>
      </c>
      <c r="F236" s="81">
        <v>38809</v>
      </c>
      <c r="G236" s="105" t="str">
        <f t="shared" si="6"/>
        <v>Apr</v>
      </c>
      <c r="H236" s="51">
        <f t="shared" ca="1" si="7"/>
        <v>10</v>
      </c>
      <c r="I236" s="52" t="s">
        <v>262</v>
      </c>
      <c r="J236" s="53">
        <v>76584</v>
      </c>
      <c r="K236" s="54">
        <v>1</v>
      </c>
    </row>
    <row r="237" spans="1:11" hidden="1" x14ac:dyDescent="0.25">
      <c r="A237" s="39" t="s">
        <v>549</v>
      </c>
      <c r="B237" s="46" t="s">
        <v>285</v>
      </c>
      <c r="C237" s="39" t="s">
        <v>465</v>
      </c>
      <c r="D237" s="142">
        <v>767347844</v>
      </c>
      <c r="E237" s="39" t="s">
        <v>256</v>
      </c>
      <c r="F237" s="81">
        <v>38821</v>
      </c>
      <c r="G237" s="105" t="str">
        <f t="shared" si="6"/>
        <v>Apr</v>
      </c>
      <c r="H237" s="51">
        <f t="shared" ca="1" si="7"/>
        <v>10</v>
      </c>
      <c r="I237" s="52" t="s">
        <v>283</v>
      </c>
      <c r="J237" s="53">
        <v>65720</v>
      </c>
      <c r="K237" s="54">
        <v>1</v>
      </c>
    </row>
    <row r="238" spans="1:11" hidden="1" x14ac:dyDescent="0.25">
      <c r="A238" s="39" t="s">
        <v>531</v>
      </c>
      <c r="B238" s="46" t="s">
        <v>285</v>
      </c>
      <c r="C238" s="39" t="s">
        <v>465</v>
      </c>
      <c r="D238" s="142">
        <v>837454346</v>
      </c>
      <c r="E238" s="39" t="s">
        <v>256</v>
      </c>
      <c r="F238" s="81">
        <v>38832</v>
      </c>
      <c r="G238" s="105" t="str">
        <f t="shared" si="6"/>
        <v>Apr</v>
      </c>
      <c r="H238" s="51">
        <f t="shared" ca="1" si="7"/>
        <v>10</v>
      </c>
      <c r="I238" s="52" t="s">
        <v>276</v>
      </c>
      <c r="J238" s="53">
        <v>29420</v>
      </c>
      <c r="K238" s="54">
        <v>5</v>
      </c>
    </row>
    <row r="239" spans="1:11" hidden="1" x14ac:dyDescent="0.25">
      <c r="A239" s="39" t="s">
        <v>557</v>
      </c>
      <c r="B239" s="46" t="s">
        <v>285</v>
      </c>
      <c r="C239" s="39" t="s">
        <v>465</v>
      </c>
      <c r="D239" s="142">
        <v>641567604</v>
      </c>
      <c r="E239" s="39" t="s">
        <v>247</v>
      </c>
      <c r="F239" s="81">
        <v>39189</v>
      </c>
      <c r="G239" s="105" t="str">
        <f t="shared" si="6"/>
        <v>Apr</v>
      </c>
      <c r="H239" s="51">
        <f t="shared" ca="1" si="7"/>
        <v>9</v>
      </c>
      <c r="I239" s="52"/>
      <c r="J239" s="53">
        <v>63850</v>
      </c>
      <c r="K239" s="54">
        <v>2</v>
      </c>
    </row>
    <row r="240" spans="1:11" x14ac:dyDescent="0.25">
      <c r="A240" s="39" t="s">
        <v>574</v>
      </c>
      <c r="B240" s="46" t="s">
        <v>271</v>
      </c>
      <c r="C240" s="39" t="s">
        <v>465</v>
      </c>
      <c r="D240" s="142">
        <v>976197548</v>
      </c>
      <c r="E240" s="39" t="s">
        <v>247</v>
      </c>
      <c r="F240" s="81">
        <v>39545</v>
      </c>
      <c r="G240" s="105" t="str">
        <f t="shared" si="6"/>
        <v>Apr</v>
      </c>
      <c r="H240" s="51">
        <f t="shared" ca="1" si="7"/>
        <v>8</v>
      </c>
      <c r="I240" s="52"/>
      <c r="J240" s="53">
        <v>84170</v>
      </c>
      <c r="K240" s="54">
        <v>2</v>
      </c>
    </row>
    <row r="241" spans="1:11" x14ac:dyDescent="0.25">
      <c r="A241" s="39" t="s">
        <v>510</v>
      </c>
      <c r="B241" s="46" t="s">
        <v>271</v>
      </c>
      <c r="C241" s="39" t="s">
        <v>465</v>
      </c>
      <c r="D241" s="142">
        <v>949956965</v>
      </c>
      <c r="E241" s="39" t="s">
        <v>256</v>
      </c>
      <c r="F241" s="81">
        <v>40270</v>
      </c>
      <c r="G241" s="105" t="str">
        <f t="shared" si="6"/>
        <v>Apr</v>
      </c>
      <c r="H241" s="51">
        <f t="shared" ca="1" si="7"/>
        <v>6</v>
      </c>
      <c r="I241" s="52" t="s">
        <v>283</v>
      </c>
      <c r="J241" s="53">
        <v>35300</v>
      </c>
      <c r="K241" s="54">
        <v>5</v>
      </c>
    </row>
    <row r="242" spans="1:11" x14ac:dyDescent="0.25">
      <c r="A242" s="39" t="s">
        <v>480</v>
      </c>
      <c r="B242" s="46" t="s">
        <v>271</v>
      </c>
      <c r="C242" s="39" t="s">
        <v>465</v>
      </c>
      <c r="D242" s="142">
        <v>151214534</v>
      </c>
      <c r="E242" s="39" t="s">
        <v>256</v>
      </c>
      <c r="F242" s="81">
        <v>40634</v>
      </c>
      <c r="G242" s="105" t="str">
        <f t="shared" si="6"/>
        <v>Apr</v>
      </c>
      <c r="H242" s="51">
        <f t="shared" ca="1" si="7"/>
        <v>5</v>
      </c>
      <c r="I242" s="52" t="s">
        <v>257</v>
      </c>
      <c r="J242" s="53">
        <v>47440</v>
      </c>
      <c r="K242" s="54">
        <v>3</v>
      </c>
    </row>
    <row r="243" spans="1:11" hidden="1" x14ac:dyDescent="0.25">
      <c r="A243" s="39" t="s">
        <v>538</v>
      </c>
      <c r="B243" s="46" t="s">
        <v>280</v>
      </c>
      <c r="C243" s="39" t="s">
        <v>465</v>
      </c>
      <c r="D243" s="142">
        <v>834166110</v>
      </c>
      <c r="E243" s="39" t="s">
        <v>252</v>
      </c>
      <c r="F243" s="81">
        <v>33751</v>
      </c>
      <c r="G243" s="105" t="str">
        <f t="shared" si="6"/>
        <v>May</v>
      </c>
      <c r="H243" s="51">
        <f t="shared" ca="1" si="7"/>
        <v>24</v>
      </c>
      <c r="I243" s="52"/>
      <c r="J243" s="53">
        <v>22344</v>
      </c>
      <c r="K243" s="54">
        <v>4</v>
      </c>
    </row>
    <row r="244" spans="1:11" hidden="1" x14ac:dyDescent="0.25">
      <c r="A244" s="39" t="s">
        <v>522</v>
      </c>
      <c r="B244" s="46" t="s">
        <v>251</v>
      </c>
      <c r="C244" s="39" t="s">
        <v>465</v>
      </c>
      <c r="D244" s="142">
        <v>772225948</v>
      </c>
      <c r="E244" s="39" t="s">
        <v>256</v>
      </c>
      <c r="F244" s="81">
        <v>34483</v>
      </c>
      <c r="G244" s="105" t="str">
        <f t="shared" si="6"/>
        <v>May</v>
      </c>
      <c r="H244" s="51">
        <f t="shared" ca="1" si="7"/>
        <v>22</v>
      </c>
      <c r="I244" s="52" t="s">
        <v>257</v>
      </c>
      <c r="J244" s="53">
        <v>81010</v>
      </c>
      <c r="K244" s="54">
        <v>4</v>
      </c>
    </row>
    <row r="245" spans="1:11" x14ac:dyDescent="0.25">
      <c r="A245" s="39" t="s">
        <v>596</v>
      </c>
      <c r="B245" s="46" t="s">
        <v>271</v>
      </c>
      <c r="C245" s="39" t="s">
        <v>465</v>
      </c>
      <c r="D245" s="142">
        <v>509740100</v>
      </c>
      <c r="E245" s="39" t="s">
        <v>256</v>
      </c>
      <c r="F245" s="81">
        <v>35188</v>
      </c>
      <c r="G245" s="105" t="str">
        <f t="shared" si="6"/>
        <v>May</v>
      </c>
      <c r="H245" s="51">
        <f t="shared" ca="1" si="7"/>
        <v>20</v>
      </c>
      <c r="I245" s="52" t="s">
        <v>283</v>
      </c>
      <c r="J245" s="53">
        <v>44270</v>
      </c>
      <c r="K245" s="54">
        <v>2</v>
      </c>
    </row>
    <row r="246" spans="1:11" hidden="1" x14ac:dyDescent="0.25">
      <c r="A246" s="39" t="s">
        <v>579</v>
      </c>
      <c r="B246" s="46" t="s">
        <v>285</v>
      </c>
      <c r="C246" s="39" t="s">
        <v>465</v>
      </c>
      <c r="D246" s="142">
        <v>611938541</v>
      </c>
      <c r="E246" s="39" t="s">
        <v>261</v>
      </c>
      <c r="F246" s="81">
        <v>35189</v>
      </c>
      <c r="G246" s="105" t="str">
        <f t="shared" si="6"/>
        <v>May</v>
      </c>
      <c r="H246" s="51">
        <f t="shared" ca="1" si="7"/>
        <v>20</v>
      </c>
      <c r="I246" s="52" t="s">
        <v>257</v>
      </c>
      <c r="J246" s="53">
        <v>46285</v>
      </c>
      <c r="K246" s="54">
        <v>5</v>
      </c>
    </row>
    <row r="247" spans="1:11" hidden="1" x14ac:dyDescent="0.25">
      <c r="A247" s="39" t="s">
        <v>546</v>
      </c>
      <c r="B247" s="46" t="s">
        <v>285</v>
      </c>
      <c r="C247" s="39" t="s">
        <v>465</v>
      </c>
      <c r="D247" s="142">
        <v>703241704</v>
      </c>
      <c r="E247" s="39" t="s">
        <v>256</v>
      </c>
      <c r="F247" s="81">
        <v>35199</v>
      </c>
      <c r="G247" s="105" t="str">
        <f t="shared" si="6"/>
        <v>May</v>
      </c>
      <c r="H247" s="51">
        <f t="shared" ca="1" si="7"/>
        <v>20</v>
      </c>
      <c r="I247" s="52" t="s">
        <v>257</v>
      </c>
      <c r="J247" s="53">
        <v>73450</v>
      </c>
      <c r="K247" s="54">
        <v>3</v>
      </c>
    </row>
    <row r="248" spans="1:11" hidden="1" x14ac:dyDescent="0.25">
      <c r="A248" s="39" t="s">
        <v>514</v>
      </c>
      <c r="B248" s="46" t="s">
        <v>251</v>
      </c>
      <c r="C248" s="39" t="s">
        <v>465</v>
      </c>
      <c r="D248" s="142">
        <v>760956576</v>
      </c>
      <c r="E248" s="39" t="s">
        <v>247</v>
      </c>
      <c r="F248" s="81">
        <v>35927</v>
      </c>
      <c r="G248" s="105" t="str">
        <f t="shared" si="6"/>
        <v>May</v>
      </c>
      <c r="H248" s="51">
        <f t="shared" ca="1" si="7"/>
        <v>18</v>
      </c>
      <c r="I248" s="52"/>
      <c r="J248" s="53">
        <v>76910</v>
      </c>
      <c r="K248" s="54">
        <v>1</v>
      </c>
    </row>
    <row r="249" spans="1:11" hidden="1" x14ac:dyDescent="0.25">
      <c r="A249" s="39" t="s">
        <v>484</v>
      </c>
      <c r="B249" s="46" t="s">
        <v>285</v>
      </c>
      <c r="C249" s="39" t="s">
        <v>465</v>
      </c>
      <c r="D249" s="142">
        <v>591166956</v>
      </c>
      <c r="E249" s="39" t="s">
        <v>256</v>
      </c>
      <c r="F249" s="81">
        <v>35932</v>
      </c>
      <c r="G249" s="105" t="str">
        <f t="shared" si="6"/>
        <v>May</v>
      </c>
      <c r="H249" s="51">
        <f t="shared" ca="1" si="7"/>
        <v>18</v>
      </c>
      <c r="I249" s="52" t="s">
        <v>283</v>
      </c>
      <c r="J249" s="53">
        <v>89740</v>
      </c>
      <c r="K249" s="54">
        <v>5</v>
      </c>
    </row>
    <row r="250" spans="1:11" hidden="1" x14ac:dyDescent="0.25">
      <c r="A250" s="39" t="s">
        <v>554</v>
      </c>
      <c r="B250" s="46" t="s">
        <v>245</v>
      </c>
      <c r="C250" s="39" t="s">
        <v>465</v>
      </c>
      <c r="D250" s="142">
        <v>373215192</v>
      </c>
      <c r="E250" s="39" t="s">
        <v>256</v>
      </c>
      <c r="F250" s="81">
        <v>35938</v>
      </c>
      <c r="G250" s="105" t="str">
        <f t="shared" si="6"/>
        <v>May</v>
      </c>
      <c r="H250" s="51">
        <f t="shared" ca="1" si="7"/>
        <v>18</v>
      </c>
      <c r="I250" s="52" t="s">
        <v>267</v>
      </c>
      <c r="J250" s="53">
        <v>55450</v>
      </c>
      <c r="K250" s="54">
        <v>5</v>
      </c>
    </row>
    <row r="251" spans="1:11" hidden="1" x14ac:dyDescent="0.25">
      <c r="A251" s="39" t="s">
        <v>578</v>
      </c>
      <c r="B251" s="46" t="s">
        <v>280</v>
      </c>
      <c r="C251" s="39" t="s">
        <v>465</v>
      </c>
      <c r="D251" s="142">
        <v>930324136</v>
      </c>
      <c r="E251" s="39" t="s">
        <v>247</v>
      </c>
      <c r="F251" s="81">
        <v>36283</v>
      </c>
      <c r="G251" s="105" t="str">
        <f t="shared" si="6"/>
        <v>May</v>
      </c>
      <c r="H251" s="51">
        <f t="shared" ca="1" si="7"/>
        <v>17</v>
      </c>
      <c r="I251" s="52"/>
      <c r="J251" s="53">
        <v>25130</v>
      </c>
      <c r="K251" s="54">
        <v>5</v>
      </c>
    </row>
    <row r="252" spans="1:11" x14ac:dyDescent="0.25">
      <c r="A252" s="39" t="s">
        <v>536</v>
      </c>
      <c r="B252" s="46" t="s">
        <v>271</v>
      </c>
      <c r="C252" s="39" t="s">
        <v>465</v>
      </c>
      <c r="D252" s="142">
        <v>587131528</v>
      </c>
      <c r="E252" s="39" t="s">
        <v>252</v>
      </c>
      <c r="F252" s="81">
        <v>36305</v>
      </c>
      <c r="G252" s="105" t="str">
        <f t="shared" si="6"/>
        <v>May</v>
      </c>
      <c r="H252" s="51">
        <f t="shared" ca="1" si="7"/>
        <v>17</v>
      </c>
      <c r="I252" s="52"/>
      <c r="J252" s="53">
        <v>9424</v>
      </c>
      <c r="K252" s="54">
        <v>4</v>
      </c>
    </row>
    <row r="253" spans="1:11" hidden="1" x14ac:dyDescent="0.25">
      <c r="A253" s="39" t="s">
        <v>497</v>
      </c>
      <c r="B253" s="46" t="s">
        <v>285</v>
      </c>
      <c r="C253" s="39" t="s">
        <v>465</v>
      </c>
      <c r="D253" s="142">
        <v>642889794</v>
      </c>
      <c r="E253" s="39" t="s">
        <v>256</v>
      </c>
      <c r="F253" s="81">
        <v>37394</v>
      </c>
      <c r="G253" s="105" t="str">
        <f t="shared" si="6"/>
        <v>May</v>
      </c>
      <c r="H253" s="51">
        <f t="shared" ca="1" si="7"/>
        <v>14</v>
      </c>
      <c r="I253" s="52" t="s">
        <v>257</v>
      </c>
      <c r="J253" s="53">
        <v>28970</v>
      </c>
      <c r="K253" s="54">
        <v>3</v>
      </c>
    </row>
    <row r="254" spans="1:11" x14ac:dyDescent="0.25">
      <c r="A254" s="39" t="s">
        <v>615</v>
      </c>
      <c r="B254" s="46" t="s">
        <v>271</v>
      </c>
      <c r="C254" s="39" t="s">
        <v>465</v>
      </c>
      <c r="D254" s="142">
        <v>595236915</v>
      </c>
      <c r="E254" s="39" t="s">
        <v>247</v>
      </c>
      <c r="F254" s="103">
        <v>40680</v>
      </c>
      <c r="G254" s="105" t="str">
        <f t="shared" si="6"/>
        <v>May</v>
      </c>
      <c r="H254" s="51">
        <f t="shared" ca="1" si="7"/>
        <v>5</v>
      </c>
      <c r="I254" s="52"/>
      <c r="J254" s="53">
        <v>57110</v>
      </c>
      <c r="K254" s="54">
        <v>3</v>
      </c>
    </row>
    <row r="255" spans="1:11" hidden="1" x14ac:dyDescent="0.25">
      <c r="A255" s="39" t="s">
        <v>512</v>
      </c>
      <c r="B255" s="46" t="s">
        <v>285</v>
      </c>
      <c r="C255" s="39" t="s">
        <v>465</v>
      </c>
      <c r="D255" s="142">
        <v>738486734</v>
      </c>
      <c r="E255" s="39" t="s">
        <v>247</v>
      </c>
      <c r="F255" s="81">
        <v>33774</v>
      </c>
      <c r="G255" s="105" t="str">
        <f t="shared" si="6"/>
        <v>Jun</v>
      </c>
      <c r="H255" s="51">
        <f t="shared" ca="1" si="7"/>
        <v>24</v>
      </c>
      <c r="I255" s="52"/>
      <c r="J255" s="53">
        <v>32190</v>
      </c>
      <c r="K255" s="54">
        <v>3</v>
      </c>
    </row>
    <row r="256" spans="1:11" x14ac:dyDescent="0.25">
      <c r="A256" s="39" t="s">
        <v>498</v>
      </c>
      <c r="B256" s="46" t="s">
        <v>271</v>
      </c>
      <c r="C256" s="39" t="s">
        <v>465</v>
      </c>
      <c r="D256" s="142">
        <v>740162699</v>
      </c>
      <c r="E256" s="39" t="s">
        <v>247</v>
      </c>
      <c r="F256" s="81">
        <v>34149</v>
      </c>
      <c r="G256" s="105" t="str">
        <f t="shared" si="6"/>
        <v>Jun</v>
      </c>
      <c r="H256" s="51">
        <f t="shared" ca="1" si="7"/>
        <v>23</v>
      </c>
      <c r="I256" s="52"/>
      <c r="J256" s="53">
        <v>45770</v>
      </c>
      <c r="K256" s="54">
        <v>5</v>
      </c>
    </row>
    <row r="257" spans="1:11" x14ac:dyDescent="0.25">
      <c r="A257" s="39" t="s">
        <v>566</v>
      </c>
      <c r="B257" s="46" t="s">
        <v>271</v>
      </c>
      <c r="C257" s="39" t="s">
        <v>465</v>
      </c>
      <c r="D257" s="142">
        <v>903099548</v>
      </c>
      <c r="E257" s="39" t="s">
        <v>256</v>
      </c>
      <c r="F257" s="81">
        <v>35589</v>
      </c>
      <c r="G257" s="105" t="str">
        <f t="shared" si="6"/>
        <v>Jun</v>
      </c>
      <c r="H257" s="51">
        <f t="shared" ca="1" si="7"/>
        <v>19</v>
      </c>
      <c r="I257" s="52" t="s">
        <v>257</v>
      </c>
      <c r="J257" s="53">
        <v>60280</v>
      </c>
      <c r="K257" s="54">
        <v>1</v>
      </c>
    </row>
    <row r="258" spans="1:11" hidden="1" x14ac:dyDescent="0.25">
      <c r="A258" s="39" t="s">
        <v>592</v>
      </c>
      <c r="B258" s="46" t="s">
        <v>251</v>
      </c>
      <c r="C258" s="39" t="s">
        <v>465</v>
      </c>
      <c r="D258" s="142">
        <v>600370287</v>
      </c>
      <c r="E258" s="39" t="s">
        <v>256</v>
      </c>
      <c r="F258" s="81">
        <v>35591</v>
      </c>
      <c r="G258" s="105" t="str">
        <f t="shared" ref="G258:G321" si="8">CHOOSE(MONTH(F258),"Jan","Feb","Mar","Apr","May","Jun","Jul","Aug","Sep","Oct","Nov","Dec")</f>
        <v>Jun</v>
      </c>
      <c r="H258" s="51">
        <f t="shared" ref="H258:H321" ca="1" si="9">DATEDIF(F258,TODAY(),"Y")</f>
        <v>19</v>
      </c>
      <c r="I258" s="52" t="s">
        <v>283</v>
      </c>
      <c r="J258" s="53">
        <v>61150</v>
      </c>
      <c r="K258" s="54">
        <v>2</v>
      </c>
    </row>
    <row r="259" spans="1:11" hidden="1" x14ac:dyDescent="0.25">
      <c r="A259" s="39" t="s">
        <v>478</v>
      </c>
      <c r="B259" s="46" t="s">
        <v>285</v>
      </c>
      <c r="C259" s="39" t="s">
        <v>465</v>
      </c>
      <c r="D259" s="142">
        <v>959134302</v>
      </c>
      <c r="E259" s="39" t="s">
        <v>247</v>
      </c>
      <c r="F259" s="81">
        <v>35972</v>
      </c>
      <c r="G259" s="105" t="str">
        <f t="shared" si="8"/>
        <v>Jun</v>
      </c>
      <c r="H259" s="51">
        <f t="shared" ca="1" si="9"/>
        <v>18</v>
      </c>
      <c r="I259" s="52"/>
      <c r="J259" s="53">
        <v>71710</v>
      </c>
      <c r="K259" s="54">
        <v>5</v>
      </c>
    </row>
    <row r="260" spans="1:11" hidden="1" x14ac:dyDescent="0.25">
      <c r="A260" s="39" t="s">
        <v>603</v>
      </c>
      <c r="B260" s="46" t="s">
        <v>285</v>
      </c>
      <c r="C260" s="39" t="s">
        <v>465</v>
      </c>
      <c r="D260" s="142">
        <v>228793940</v>
      </c>
      <c r="E260" s="39" t="s">
        <v>256</v>
      </c>
      <c r="F260" s="81">
        <v>36318</v>
      </c>
      <c r="G260" s="105" t="str">
        <f t="shared" si="8"/>
        <v>Jun</v>
      </c>
      <c r="H260" s="51">
        <f t="shared" ca="1" si="9"/>
        <v>17</v>
      </c>
      <c r="I260" s="52" t="s">
        <v>283</v>
      </c>
      <c r="J260" s="53">
        <v>68750</v>
      </c>
      <c r="K260" s="54">
        <v>1</v>
      </c>
    </row>
    <row r="261" spans="1:11" hidden="1" x14ac:dyDescent="0.25">
      <c r="A261" s="39" t="s">
        <v>468</v>
      </c>
      <c r="B261" s="46" t="s">
        <v>285</v>
      </c>
      <c r="C261" s="39" t="s">
        <v>465</v>
      </c>
      <c r="D261" s="142">
        <v>119804327</v>
      </c>
      <c r="E261" s="39" t="s">
        <v>256</v>
      </c>
      <c r="F261" s="81">
        <v>36332</v>
      </c>
      <c r="G261" s="105" t="str">
        <f t="shared" si="8"/>
        <v>Jun</v>
      </c>
      <c r="H261" s="51">
        <f t="shared" ca="1" si="9"/>
        <v>17</v>
      </c>
      <c r="I261" s="52" t="s">
        <v>267</v>
      </c>
      <c r="J261" s="53">
        <v>37760</v>
      </c>
      <c r="K261" s="54">
        <v>2</v>
      </c>
    </row>
    <row r="262" spans="1:11" hidden="1" x14ac:dyDescent="0.25">
      <c r="A262" s="39" t="s">
        <v>535</v>
      </c>
      <c r="B262" s="46" t="s">
        <v>245</v>
      </c>
      <c r="C262" s="39" t="s">
        <v>465</v>
      </c>
      <c r="D262" s="142">
        <v>306014171</v>
      </c>
      <c r="E262" s="39" t="s">
        <v>256</v>
      </c>
      <c r="F262" s="81">
        <v>36698</v>
      </c>
      <c r="G262" s="105" t="str">
        <f t="shared" si="8"/>
        <v>Jun</v>
      </c>
      <c r="H262" s="51">
        <f t="shared" ca="1" si="9"/>
        <v>16</v>
      </c>
      <c r="I262" s="52" t="s">
        <v>267</v>
      </c>
      <c r="J262" s="53">
        <v>23650</v>
      </c>
      <c r="K262" s="54">
        <v>1</v>
      </c>
    </row>
    <row r="263" spans="1:11" hidden="1" x14ac:dyDescent="0.25">
      <c r="A263" s="39" t="s">
        <v>483</v>
      </c>
      <c r="B263" s="46" t="s">
        <v>280</v>
      </c>
      <c r="C263" s="39" t="s">
        <v>465</v>
      </c>
      <c r="D263" s="142">
        <v>883505331</v>
      </c>
      <c r="E263" s="39" t="s">
        <v>247</v>
      </c>
      <c r="F263" s="81">
        <v>36704</v>
      </c>
      <c r="G263" s="105" t="str">
        <f t="shared" si="8"/>
        <v>Jun</v>
      </c>
      <c r="H263" s="51">
        <f t="shared" ca="1" si="9"/>
        <v>16</v>
      </c>
      <c r="I263" s="52"/>
      <c r="J263" s="53">
        <v>57760</v>
      </c>
      <c r="K263" s="54">
        <v>3</v>
      </c>
    </row>
    <row r="264" spans="1:11" hidden="1" x14ac:dyDescent="0.25">
      <c r="A264" s="39" t="s">
        <v>613</v>
      </c>
      <c r="B264" s="46" t="s">
        <v>285</v>
      </c>
      <c r="C264" s="39" t="s">
        <v>465</v>
      </c>
      <c r="D264" s="142">
        <v>652600694</v>
      </c>
      <c r="E264" s="39" t="s">
        <v>256</v>
      </c>
      <c r="F264" s="81">
        <v>36707</v>
      </c>
      <c r="G264" s="105" t="str">
        <f t="shared" si="8"/>
        <v>Jun</v>
      </c>
      <c r="H264" s="51">
        <f t="shared" ca="1" si="9"/>
        <v>16</v>
      </c>
      <c r="I264" s="52" t="s">
        <v>276</v>
      </c>
      <c r="J264" s="53">
        <v>38870</v>
      </c>
      <c r="K264" s="54">
        <v>2</v>
      </c>
    </row>
    <row r="265" spans="1:11" hidden="1" x14ac:dyDescent="0.25">
      <c r="A265" s="39" t="s">
        <v>470</v>
      </c>
      <c r="B265" s="46" t="s">
        <v>285</v>
      </c>
      <c r="C265" s="39" t="s">
        <v>465</v>
      </c>
      <c r="D265" s="142">
        <v>719046337</v>
      </c>
      <c r="E265" s="39" t="s">
        <v>256</v>
      </c>
      <c r="F265" s="81">
        <v>37068</v>
      </c>
      <c r="G265" s="105" t="str">
        <f t="shared" si="8"/>
        <v>Jun</v>
      </c>
      <c r="H265" s="51">
        <f t="shared" ca="1" si="9"/>
        <v>15</v>
      </c>
      <c r="I265" s="52" t="s">
        <v>262</v>
      </c>
      <c r="J265" s="53">
        <v>66010</v>
      </c>
      <c r="K265" s="54">
        <v>5</v>
      </c>
    </row>
    <row r="266" spans="1:11" x14ac:dyDescent="0.25">
      <c r="A266" s="39" t="s">
        <v>541</v>
      </c>
      <c r="B266" s="46" t="s">
        <v>271</v>
      </c>
      <c r="C266" s="39" t="s">
        <v>465</v>
      </c>
      <c r="D266" s="142">
        <v>153808176</v>
      </c>
      <c r="E266" s="39" t="s">
        <v>256</v>
      </c>
      <c r="F266" s="81">
        <v>37436</v>
      </c>
      <c r="G266" s="105" t="str">
        <f t="shared" si="8"/>
        <v>Jun</v>
      </c>
      <c r="H266" s="51">
        <f t="shared" ca="1" si="9"/>
        <v>14</v>
      </c>
      <c r="I266" s="52" t="s">
        <v>267</v>
      </c>
      <c r="J266" s="53">
        <v>64130</v>
      </c>
      <c r="K266" s="54">
        <v>1</v>
      </c>
    </row>
    <row r="267" spans="1:11" hidden="1" x14ac:dyDescent="0.25">
      <c r="A267" s="39" t="s">
        <v>607</v>
      </c>
      <c r="B267" s="46" t="s">
        <v>245</v>
      </c>
      <c r="C267" s="39" t="s">
        <v>465</v>
      </c>
      <c r="D267" s="142">
        <v>389072925</v>
      </c>
      <c r="E267" s="39" t="s">
        <v>256</v>
      </c>
      <c r="F267" s="81">
        <v>38146</v>
      </c>
      <c r="G267" s="105" t="str">
        <f t="shared" si="8"/>
        <v>Jun</v>
      </c>
      <c r="H267" s="51">
        <f t="shared" ca="1" si="9"/>
        <v>12</v>
      </c>
      <c r="I267" s="52" t="s">
        <v>257</v>
      </c>
      <c r="J267" s="53">
        <v>47340</v>
      </c>
      <c r="K267" s="54">
        <v>2</v>
      </c>
    </row>
    <row r="268" spans="1:11" hidden="1" x14ac:dyDescent="0.25">
      <c r="A268" s="39" t="s">
        <v>591</v>
      </c>
      <c r="B268" s="46" t="s">
        <v>285</v>
      </c>
      <c r="C268" s="39" t="s">
        <v>465</v>
      </c>
      <c r="D268" s="142">
        <v>803639666</v>
      </c>
      <c r="E268" s="39" t="s">
        <v>247</v>
      </c>
      <c r="F268" s="81">
        <v>38507</v>
      </c>
      <c r="G268" s="105" t="str">
        <f t="shared" si="8"/>
        <v>Jun</v>
      </c>
      <c r="H268" s="51">
        <f t="shared" ca="1" si="9"/>
        <v>11</v>
      </c>
      <c r="I268" s="52"/>
      <c r="J268" s="53">
        <v>40940</v>
      </c>
      <c r="K268" s="54">
        <v>2</v>
      </c>
    </row>
    <row r="269" spans="1:11" hidden="1" x14ac:dyDescent="0.25">
      <c r="A269" s="39" t="s">
        <v>532</v>
      </c>
      <c r="B269" s="46" t="s">
        <v>280</v>
      </c>
      <c r="C269" s="39" t="s">
        <v>465</v>
      </c>
      <c r="D269" s="142">
        <v>342619484</v>
      </c>
      <c r="E269" s="39" t="s">
        <v>247</v>
      </c>
      <c r="F269" s="81">
        <v>38874</v>
      </c>
      <c r="G269" s="105" t="str">
        <f t="shared" si="8"/>
        <v>Jun</v>
      </c>
      <c r="H269" s="51">
        <f t="shared" ca="1" si="9"/>
        <v>10</v>
      </c>
      <c r="I269" s="52"/>
      <c r="J269" s="53">
        <v>59330</v>
      </c>
      <c r="K269" s="54">
        <v>4</v>
      </c>
    </row>
    <row r="270" spans="1:11" hidden="1" x14ac:dyDescent="0.25">
      <c r="A270" s="39" t="s">
        <v>576</v>
      </c>
      <c r="B270" s="46" t="s">
        <v>280</v>
      </c>
      <c r="C270" s="39" t="s">
        <v>465</v>
      </c>
      <c r="D270" s="142">
        <v>411603352</v>
      </c>
      <c r="E270" s="39" t="s">
        <v>256</v>
      </c>
      <c r="F270" s="81">
        <v>39972</v>
      </c>
      <c r="G270" s="105" t="str">
        <f t="shared" si="8"/>
        <v>Jun</v>
      </c>
      <c r="H270" s="51">
        <f t="shared" ca="1" si="9"/>
        <v>7</v>
      </c>
      <c r="I270" s="52" t="s">
        <v>257</v>
      </c>
      <c r="J270" s="53">
        <v>78170</v>
      </c>
      <c r="K270" s="54">
        <v>5</v>
      </c>
    </row>
    <row r="271" spans="1:11" x14ac:dyDescent="0.25">
      <c r="A271" s="39" t="s">
        <v>524</v>
      </c>
      <c r="B271" s="46" t="s">
        <v>271</v>
      </c>
      <c r="C271" s="39" t="s">
        <v>465</v>
      </c>
      <c r="D271" s="142">
        <v>232169023</v>
      </c>
      <c r="E271" s="39" t="s">
        <v>256</v>
      </c>
      <c r="F271" s="81">
        <v>34151</v>
      </c>
      <c r="G271" s="105" t="str">
        <f t="shared" si="8"/>
        <v>Jul</v>
      </c>
      <c r="H271" s="51">
        <f t="shared" ca="1" si="9"/>
        <v>23</v>
      </c>
      <c r="I271" s="52" t="s">
        <v>283</v>
      </c>
      <c r="J271" s="53">
        <v>81980</v>
      </c>
      <c r="K271" s="54">
        <v>2</v>
      </c>
    </row>
    <row r="272" spans="1:11" hidden="1" x14ac:dyDescent="0.25">
      <c r="A272" s="39" t="s">
        <v>560</v>
      </c>
      <c r="B272" s="46" t="s">
        <v>245</v>
      </c>
      <c r="C272" s="39" t="s">
        <v>465</v>
      </c>
      <c r="D272" s="142">
        <v>900001470</v>
      </c>
      <c r="E272" s="39" t="s">
        <v>261</v>
      </c>
      <c r="F272" s="81">
        <v>34163</v>
      </c>
      <c r="G272" s="105" t="str">
        <f t="shared" si="8"/>
        <v>Jul</v>
      </c>
      <c r="H272" s="51">
        <f t="shared" ca="1" si="9"/>
        <v>23</v>
      </c>
      <c r="I272" s="52" t="s">
        <v>262</v>
      </c>
      <c r="J272" s="53">
        <v>18895</v>
      </c>
      <c r="K272" s="54">
        <v>4</v>
      </c>
    </row>
    <row r="273" spans="1:13" hidden="1" x14ac:dyDescent="0.25">
      <c r="A273" s="39" t="s">
        <v>551</v>
      </c>
      <c r="B273" s="46" t="s">
        <v>280</v>
      </c>
      <c r="C273" s="39" t="s">
        <v>465</v>
      </c>
      <c r="D273" s="142">
        <v>293327098</v>
      </c>
      <c r="E273" s="39" t="s">
        <v>252</v>
      </c>
      <c r="F273" s="81">
        <v>34165</v>
      </c>
      <c r="G273" s="105" t="str">
        <f t="shared" si="8"/>
        <v>Jul</v>
      </c>
      <c r="H273" s="51">
        <f t="shared" ca="1" si="9"/>
        <v>23</v>
      </c>
      <c r="I273" s="52"/>
      <c r="J273" s="53">
        <v>30416</v>
      </c>
      <c r="K273" s="54">
        <v>1</v>
      </c>
    </row>
    <row r="274" spans="1:13" hidden="1" x14ac:dyDescent="0.25">
      <c r="A274" s="39" t="s">
        <v>469</v>
      </c>
      <c r="B274" s="46" t="s">
        <v>245</v>
      </c>
      <c r="C274" s="39" t="s">
        <v>465</v>
      </c>
      <c r="D274" s="142">
        <v>263399031</v>
      </c>
      <c r="E274" s="39" t="s">
        <v>256</v>
      </c>
      <c r="F274" s="81">
        <v>34541</v>
      </c>
      <c r="G274" s="105" t="str">
        <f t="shared" si="8"/>
        <v>Jul</v>
      </c>
      <c r="H274" s="51">
        <f t="shared" ca="1" si="9"/>
        <v>22</v>
      </c>
      <c r="I274" s="52" t="s">
        <v>276</v>
      </c>
      <c r="J274" s="53">
        <v>34480</v>
      </c>
      <c r="K274" s="54">
        <v>3</v>
      </c>
    </row>
    <row r="275" spans="1:13" hidden="1" x14ac:dyDescent="0.25">
      <c r="A275" s="39" t="s">
        <v>604</v>
      </c>
      <c r="B275" s="46" t="s">
        <v>285</v>
      </c>
      <c r="C275" s="39" t="s">
        <v>465</v>
      </c>
      <c r="D275" s="142">
        <v>877540638</v>
      </c>
      <c r="E275" s="39" t="s">
        <v>256</v>
      </c>
      <c r="F275" s="81">
        <v>34881</v>
      </c>
      <c r="G275" s="105" t="str">
        <f t="shared" si="8"/>
        <v>Jul</v>
      </c>
      <c r="H275" s="51">
        <f t="shared" ca="1" si="9"/>
        <v>21</v>
      </c>
      <c r="I275" s="52" t="s">
        <v>262</v>
      </c>
      <c r="J275" s="53">
        <v>63070</v>
      </c>
      <c r="K275" s="54">
        <v>1</v>
      </c>
      <c r="M275" s="63"/>
    </row>
    <row r="276" spans="1:13" hidden="1" x14ac:dyDescent="0.25">
      <c r="A276" s="39" t="s">
        <v>466</v>
      </c>
      <c r="B276" s="46" t="s">
        <v>285</v>
      </c>
      <c r="C276" s="39" t="s">
        <v>465</v>
      </c>
      <c r="D276" s="142">
        <v>730088574</v>
      </c>
      <c r="E276" s="39" t="s">
        <v>252</v>
      </c>
      <c r="F276" s="81">
        <v>35982</v>
      </c>
      <c r="G276" s="105" t="str">
        <f t="shared" si="8"/>
        <v>Jul</v>
      </c>
      <c r="H276" s="51">
        <f t="shared" ca="1" si="9"/>
        <v>18</v>
      </c>
      <c r="I276" s="52"/>
      <c r="J276" s="53">
        <v>8904</v>
      </c>
      <c r="K276" s="54">
        <v>3</v>
      </c>
    </row>
    <row r="277" spans="1:13" x14ac:dyDescent="0.25">
      <c r="A277" s="39" t="s">
        <v>492</v>
      </c>
      <c r="B277" s="46" t="s">
        <v>271</v>
      </c>
      <c r="C277" s="39" t="s">
        <v>465</v>
      </c>
      <c r="D277" s="142">
        <v>317956295</v>
      </c>
      <c r="E277" s="39" t="s">
        <v>247</v>
      </c>
      <c r="F277" s="81">
        <v>35992</v>
      </c>
      <c r="G277" s="105" t="str">
        <f t="shared" si="8"/>
        <v>Jul</v>
      </c>
      <c r="H277" s="51">
        <f t="shared" ca="1" si="9"/>
        <v>18</v>
      </c>
      <c r="I277" s="52"/>
      <c r="J277" s="53">
        <v>68260</v>
      </c>
      <c r="K277" s="54">
        <v>5</v>
      </c>
    </row>
    <row r="278" spans="1:13" x14ac:dyDescent="0.25">
      <c r="A278" s="39" t="s">
        <v>537</v>
      </c>
      <c r="B278" s="46" t="s">
        <v>271</v>
      </c>
      <c r="C278" s="39" t="s">
        <v>465</v>
      </c>
      <c r="D278" s="142">
        <v>265943078</v>
      </c>
      <c r="E278" s="39" t="s">
        <v>256</v>
      </c>
      <c r="F278" s="81">
        <v>35996</v>
      </c>
      <c r="G278" s="105" t="str">
        <f t="shared" si="8"/>
        <v>Jul</v>
      </c>
      <c r="H278" s="51">
        <f t="shared" ca="1" si="9"/>
        <v>18</v>
      </c>
      <c r="I278" s="52" t="s">
        <v>257</v>
      </c>
      <c r="J278" s="53">
        <v>40340</v>
      </c>
      <c r="K278" s="54">
        <v>2</v>
      </c>
    </row>
    <row r="279" spans="1:13" hidden="1" x14ac:dyDescent="0.25">
      <c r="A279" s="39" t="s">
        <v>614</v>
      </c>
      <c r="B279" s="46" t="s">
        <v>285</v>
      </c>
      <c r="C279" s="39" t="s">
        <v>465</v>
      </c>
      <c r="D279" s="142">
        <v>388024351</v>
      </c>
      <c r="E279" s="39" t="s">
        <v>247</v>
      </c>
      <c r="F279" s="81">
        <v>35997</v>
      </c>
      <c r="G279" s="105" t="str">
        <f t="shared" si="8"/>
        <v>Jul</v>
      </c>
      <c r="H279" s="51">
        <f t="shared" ca="1" si="9"/>
        <v>18</v>
      </c>
      <c r="I279" s="52"/>
      <c r="J279" s="53">
        <v>72520</v>
      </c>
      <c r="K279" s="54">
        <v>3</v>
      </c>
    </row>
    <row r="280" spans="1:13" hidden="1" x14ac:dyDescent="0.25">
      <c r="A280" s="39" t="s">
        <v>572</v>
      </c>
      <c r="B280" s="46" t="s">
        <v>266</v>
      </c>
      <c r="C280" s="39" t="s">
        <v>465</v>
      </c>
      <c r="D280" s="142">
        <v>815874610</v>
      </c>
      <c r="E280" s="39" t="s">
        <v>247</v>
      </c>
      <c r="F280" s="81">
        <v>36350</v>
      </c>
      <c r="G280" s="105" t="str">
        <f t="shared" si="8"/>
        <v>Jul</v>
      </c>
      <c r="H280" s="51">
        <f t="shared" ca="1" si="9"/>
        <v>17</v>
      </c>
      <c r="I280" s="52"/>
      <c r="J280" s="53">
        <v>27380</v>
      </c>
      <c r="K280" s="54">
        <v>3</v>
      </c>
    </row>
    <row r="281" spans="1:13" hidden="1" x14ac:dyDescent="0.25">
      <c r="A281" s="39" t="s">
        <v>562</v>
      </c>
      <c r="B281" s="46" t="s">
        <v>285</v>
      </c>
      <c r="C281" s="39" t="s">
        <v>465</v>
      </c>
      <c r="D281" s="142">
        <v>701820186</v>
      </c>
      <c r="E281" s="39" t="s">
        <v>261</v>
      </c>
      <c r="F281" s="81">
        <v>36360</v>
      </c>
      <c r="G281" s="105" t="str">
        <f t="shared" si="8"/>
        <v>Jul</v>
      </c>
      <c r="H281" s="51">
        <f t="shared" ca="1" si="9"/>
        <v>17</v>
      </c>
      <c r="I281" s="52" t="s">
        <v>283</v>
      </c>
      <c r="J281" s="53">
        <v>11065</v>
      </c>
      <c r="K281" s="54">
        <v>1</v>
      </c>
    </row>
    <row r="282" spans="1:13" hidden="1" x14ac:dyDescent="0.25">
      <c r="A282" s="39" t="s">
        <v>534</v>
      </c>
      <c r="B282" s="46" t="s">
        <v>285</v>
      </c>
      <c r="C282" s="39" t="s">
        <v>465</v>
      </c>
      <c r="D282" s="142">
        <v>988055802</v>
      </c>
      <c r="E282" s="39" t="s">
        <v>247</v>
      </c>
      <c r="F282" s="81">
        <v>36718</v>
      </c>
      <c r="G282" s="105" t="str">
        <f t="shared" si="8"/>
        <v>Jul</v>
      </c>
      <c r="H282" s="51">
        <f t="shared" ca="1" si="9"/>
        <v>16</v>
      </c>
      <c r="I282" s="52"/>
      <c r="J282" s="53">
        <v>89520</v>
      </c>
      <c r="K282" s="54">
        <v>5</v>
      </c>
    </row>
    <row r="283" spans="1:13" hidden="1" x14ac:dyDescent="0.25">
      <c r="A283" s="39" t="s">
        <v>545</v>
      </c>
      <c r="B283" s="46" t="s">
        <v>285</v>
      </c>
      <c r="C283" s="39" t="s">
        <v>465</v>
      </c>
      <c r="D283" s="142">
        <v>920589535</v>
      </c>
      <c r="E283" s="39" t="s">
        <v>247</v>
      </c>
      <c r="F283" s="81">
        <v>36729</v>
      </c>
      <c r="G283" s="105" t="str">
        <f t="shared" si="8"/>
        <v>Jul</v>
      </c>
      <c r="H283" s="51">
        <f t="shared" ca="1" si="9"/>
        <v>16</v>
      </c>
      <c r="I283" s="52"/>
      <c r="J283" s="53">
        <v>45420</v>
      </c>
      <c r="K283" s="54">
        <v>1</v>
      </c>
    </row>
    <row r="284" spans="1:13" hidden="1" x14ac:dyDescent="0.25">
      <c r="A284" s="39" t="s">
        <v>493</v>
      </c>
      <c r="B284" s="46" t="s">
        <v>266</v>
      </c>
      <c r="C284" s="39" t="s">
        <v>465</v>
      </c>
      <c r="D284" s="142">
        <v>977539699</v>
      </c>
      <c r="E284" s="39" t="s">
        <v>247</v>
      </c>
      <c r="F284" s="81">
        <v>37820</v>
      </c>
      <c r="G284" s="105" t="str">
        <f t="shared" si="8"/>
        <v>Jul</v>
      </c>
      <c r="H284" s="51">
        <f t="shared" ca="1" si="9"/>
        <v>13</v>
      </c>
      <c r="I284" s="52"/>
      <c r="J284" s="53">
        <v>75420</v>
      </c>
      <c r="K284" s="54">
        <v>1</v>
      </c>
    </row>
    <row r="285" spans="1:13" hidden="1" x14ac:dyDescent="0.25">
      <c r="A285" s="39" t="s">
        <v>496</v>
      </c>
      <c r="B285" s="46" t="s">
        <v>245</v>
      </c>
      <c r="C285" s="39" t="s">
        <v>465</v>
      </c>
      <c r="D285" s="142">
        <v>202700092</v>
      </c>
      <c r="E285" s="39" t="s">
        <v>247</v>
      </c>
      <c r="F285" s="81">
        <v>38537</v>
      </c>
      <c r="G285" s="105" t="str">
        <f t="shared" si="8"/>
        <v>Jul</v>
      </c>
      <c r="H285" s="51">
        <f t="shared" ca="1" si="9"/>
        <v>11</v>
      </c>
      <c r="I285" s="52"/>
      <c r="J285" s="53">
        <v>39680</v>
      </c>
      <c r="K285" s="54">
        <v>1</v>
      </c>
    </row>
    <row r="286" spans="1:13" hidden="1" x14ac:dyDescent="0.25">
      <c r="A286" s="39" t="s">
        <v>511</v>
      </c>
      <c r="B286" s="46" t="s">
        <v>251</v>
      </c>
      <c r="C286" s="39" t="s">
        <v>465</v>
      </c>
      <c r="D286" s="142">
        <v>378564305</v>
      </c>
      <c r="E286" s="39" t="s">
        <v>247</v>
      </c>
      <c r="F286" s="81">
        <v>38912</v>
      </c>
      <c r="G286" s="105" t="str">
        <f t="shared" si="8"/>
        <v>Jul</v>
      </c>
      <c r="H286" s="51">
        <f t="shared" ca="1" si="9"/>
        <v>10</v>
      </c>
      <c r="I286" s="52"/>
      <c r="J286" s="53">
        <v>80330</v>
      </c>
      <c r="K286" s="54">
        <v>4</v>
      </c>
    </row>
    <row r="287" spans="1:13" x14ac:dyDescent="0.25">
      <c r="A287" s="39" t="s">
        <v>561</v>
      </c>
      <c r="B287" s="46" t="s">
        <v>271</v>
      </c>
      <c r="C287" s="39" t="s">
        <v>465</v>
      </c>
      <c r="D287" s="142">
        <v>134676567</v>
      </c>
      <c r="E287" s="39" t="s">
        <v>247</v>
      </c>
      <c r="F287" s="81">
        <v>33819</v>
      </c>
      <c r="G287" s="105" t="str">
        <f t="shared" si="8"/>
        <v>Aug</v>
      </c>
      <c r="H287" s="51">
        <f t="shared" ca="1" si="9"/>
        <v>24</v>
      </c>
      <c r="I287" s="52"/>
      <c r="J287" s="53">
        <v>49530</v>
      </c>
      <c r="K287" s="54">
        <v>2</v>
      </c>
    </row>
    <row r="288" spans="1:13" x14ac:dyDescent="0.25">
      <c r="A288" s="39" t="s">
        <v>601</v>
      </c>
      <c r="B288" s="46" t="s">
        <v>271</v>
      </c>
      <c r="C288" s="39" t="s">
        <v>465</v>
      </c>
      <c r="D288" s="142">
        <v>613938083</v>
      </c>
      <c r="E288" s="39" t="s">
        <v>256</v>
      </c>
      <c r="F288" s="81">
        <v>36009</v>
      </c>
      <c r="G288" s="105" t="str">
        <f t="shared" si="8"/>
        <v>Aug</v>
      </c>
      <c r="H288" s="51">
        <f t="shared" ca="1" si="9"/>
        <v>18</v>
      </c>
      <c r="I288" s="52" t="s">
        <v>257</v>
      </c>
      <c r="J288" s="53">
        <v>75120</v>
      </c>
      <c r="K288" s="54">
        <v>5</v>
      </c>
    </row>
    <row r="289" spans="1:11" hidden="1" x14ac:dyDescent="0.25">
      <c r="A289" s="39" t="s">
        <v>567</v>
      </c>
      <c r="B289" s="46" t="s">
        <v>280</v>
      </c>
      <c r="C289" s="39" t="s">
        <v>465</v>
      </c>
      <c r="D289" s="142">
        <v>830328279</v>
      </c>
      <c r="E289" s="39" t="s">
        <v>247</v>
      </c>
      <c r="F289" s="81">
        <v>36011</v>
      </c>
      <c r="G289" s="105" t="str">
        <f t="shared" si="8"/>
        <v>Aug</v>
      </c>
      <c r="H289" s="51">
        <f t="shared" ca="1" si="9"/>
        <v>18</v>
      </c>
      <c r="I289" s="52"/>
      <c r="J289" s="53">
        <v>45050</v>
      </c>
      <c r="K289" s="54">
        <v>1</v>
      </c>
    </row>
    <row r="290" spans="1:11" hidden="1" x14ac:dyDescent="0.25">
      <c r="A290" s="39" t="s">
        <v>539</v>
      </c>
      <c r="B290" s="46" t="s">
        <v>266</v>
      </c>
      <c r="C290" s="39" t="s">
        <v>465</v>
      </c>
      <c r="D290" s="142">
        <v>466348526</v>
      </c>
      <c r="E290" s="39" t="s">
        <v>256</v>
      </c>
      <c r="F290" s="81">
        <v>39312</v>
      </c>
      <c r="G290" s="105" t="str">
        <f t="shared" si="8"/>
        <v>Aug</v>
      </c>
      <c r="H290" s="51">
        <f t="shared" ca="1" si="9"/>
        <v>9</v>
      </c>
      <c r="I290" s="52" t="s">
        <v>262</v>
      </c>
      <c r="J290" s="53">
        <v>71030</v>
      </c>
      <c r="K290" s="54">
        <v>3</v>
      </c>
    </row>
    <row r="291" spans="1:11" hidden="1" x14ac:dyDescent="0.25">
      <c r="A291" s="39" t="s">
        <v>584</v>
      </c>
      <c r="B291" s="46" t="s">
        <v>251</v>
      </c>
      <c r="C291" s="39" t="s">
        <v>465</v>
      </c>
      <c r="D291" s="142">
        <v>811202895</v>
      </c>
      <c r="E291" s="39" t="s">
        <v>261</v>
      </c>
      <c r="F291" s="81">
        <v>34583</v>
      </c>
      <c r="G291" s="105" t="str">
        <f t="shared" si="8"/>
        <v>Sep</v>
      </c>
      <c r="H291" s="51">
        <f t="shared" ca="1" si="9"/>
        <v>22</v>
      </c>
      <c r="I291" s="52" t="s">
        <v>262</v>
      </c>
      <c r="J291" s="53">
        <v>15260</v>
      </c>
      <c r="K291" s="54">
        <v>2</v>
      </c>
    </row>
    <row r="292" spans="1:11" hidden="1" x14ac:dyDescent="0.25">
      <c r="A292" s="39" t="s">
        <v>555</v>
      </c>
      <c r="B292" s="46" t="s">
        <v>285</v>
      </c>
      <c r="C292" s="39" t="s">
        <v>465</v>
      </c>
      <c r="D292" s="142">
        <v>590586478</v>
      </c>
      <c r="E292" s="39" t="s">
        <v>256</v>
      </c>
      <c r="F292" s="81">
        <v>34971</v>
      </c>
      <c r="G292" s="105" t="str">
        <f t="shared" si="8"/>
        <v>Sep</v>
      </c>
      <c r="H292" s="51">
        <f t="shared" ca="1" si="9"/>
        <v>21</v>
      </c>
      <c r="I292" s="52" t="s">
        <v>283</v>
      </c>
      <c r="J292" s="53">
        <v>67050</v>
      </c>
      <c r="K292" s="54">
        <v>4</v>
      </c>
    </row>
    <row r="293" spans="1:11" hidden="1" x14ac:dyDescent="0.25">
      <c r="A293" s="39" t="s">
        <v>482</v>
      </c>
      <c r="B293" s="46" t="s">
        <v>251</v>
      </c>
      <c r="C293" s="39" t="s">
        <v>465</v>
      </c>
      <c r="D293" s="142">
        <v>718722872</v>
      </c>
      <c r="E293" s="39" t="s">
        <v>256</v>
      </c>
      <c r="F293" s="81">
        <v>35311</v>
      </c>
      <c r="G293" s="105" t="str">
        <f t="shared" si="8"/>
        <v>Sep</v>
      </c>
      <c r="H293" s="51">
        <f t="shared" ca="1" si="9"/>
        <v>20</v>
      </c>
      <c r="I293" s="52" t="s">
        <v>267</v>
      </c>
      <c r="J293" s="53">
        <v>39520</v>
      </c>
      <c r="K293" s="54">
        <v>5</v>
      </c>
    </row>
    <row r="294" spans="1:11" x14ac:dyDescent="0.25">
      <c r="A294" s="39" t="s">
        <v>597</v>
      </c>
      <c r="B294" s="46" t="s">
        <v>271</v>
      </c>
      <c r="C294" s="39" t="s">
        <v>465</v>
      </c>
      <c r="D294" s="142">
        <v>436564745</v>
      </c>
      <c r="E294" s="39" t="s">
        <v>256</v>
      </c>
      <c r="F294" s="81">
        <v>35695</v>
      </c>
      <c r="G294" s="105" t="str">
        <f t="shared" si="8"/>
        <v>Sep</v>
      </c>
      <c r="H294" s="51">
        <f t="shared" ca="1" si="9"/>
        <v>19</v>
      </c>
      <c r="I294" s="52" t="s">
        <v>257</v>
      </c>
      <c r="J294" s="53">
        <v>60100</v>
      </c>
      <c r="K294" s="54">
        <v>1</v>
      </c>
    </row>
    <row r="295" spans="1:11" hidden="1" x14ac:dyDescent="0.25">
      <c r="A295" s="39" t="s">
        <v>610</v>
      </c>
      <c r="B295" s="46" t="s">
        <v>285</v>
      </c>
      <c r="C295" s="39" t="s">
        <v>465</v>
      </c>
      <c r="D295" s="142">
        <v>962607933</v>
      </c>
      <c r="E295" s="39" t="s">
        <v>256</v>
      </c>
      <c r="F295" s="81">
        <v>35703</v>
      </c>
      <c r="G295" s="105" t="str">
        <f t="shared" si="8"/>
        <v>Sep</v>
      </c>
      <c r="H295" s="51">
        <f t="shared" ca="1" si="9"/>
        <v>19</v>
      </c>
      <c r="I295" s="52" t="s">
        <v>262</v>
      </c>
      <c r="J295" s="53">
        <v>66430</v>
      </c>
      <c r="K295" s="54">
        <v>2</v>
      </c>
    </row>
    <row r="296" spans="1:11" hidden="1" x14ac:dyDescent="0.25">
      <c r="A296" s="39" t="s">
        <v>573</v>
      </c>
      <c r="B296" s="46" t="s">
        <v>280</v>
      </c>
      <c r="C296" s="39" t="s">
        <v>465</v>
      </c>
      <c r="D296" s="142">
        <v>404442652</v>
      </c>
      <c r="E296" s="39" t="s">
        <v>252</v>
      </c>
      <c r="F296" s="81">
        <v>36067</v>
      </c>
      <c r="G296" s="105" t="str">
        <f t="shared" si="8"/>
        <v>Sep</v>
      </c>
      <c r="H296" s="51">
        <f t="shared" ca="1" si="9"/>
        <v>18</v>
      </c>
      <c r="I296" s="52"/>
      <c r="J296" s="53">
        <v>37612</v>
      </c>
      <c r="K296" s="54">
        <v>4</v>
      </c>
    </row>
    <row r="297" spans="1:11" hidden="1" x14ac:dyDescent="0.25">
      <c r="A297" s="39" t="s">
        <v>515</v>
      </c>
      <c r="B297" s="46" t="s">
        <v>280</v>
      </c>
      <c r="C297" s="39" t="s">
        <v>465</v>
      </c>
      <c r="D297" s="142">
        <v>984227035</v>
      </c>
      <c r="E297" s="39" t="s">
        <v>256</v>
      </c>
      <c r="F297" s="81">
        <v>36413</v>
      </c>
      <c r="G297" s="105" t="str">
        <f t="shared" si="8"/>
        <v>Sep</v>
      </c>
      <c r="H297" s="51">
        <f t="shared" ca="1" si="9"/>
        <v>17</v>
      </c>
      <c r="I297" s="52" t="s">
        <v>257</v>
      </c>
      <c r="J297" s="53">
        <v>40060</v>
      </c>
      <c r="K297" s="54">
        <v>3</v>
      </c>
    </row>
    <row r="298" spans="1:11" hidden="1" x14ac:dyDescent="0.25">
      <c r="A298" s="39" t="s">
        <v>571</v>
      </c>
      <c r="B298" s="46" t="s">
        <v>285</v>
      </c>
      <c r="C298" s="39" t="s">
        <v>465</v>
      </c>
      <c r="D298" s="142">
        <v>723846958</v>
      </c>
      <c r="E298" s="39" t="s">
        <v>261</v>
      </c>
      <c r="F298" s="81">
        <v>36422</v>
      </c>
      <c r="G298" s="105" t="str">
        <f t="shared" si="8"/>
        <v>Sep</v>
      </c>
      <c r="H298" s="51">
        <f t="shared" ca="1" si="9"/>
        <v>17</v>
      </c>
      <c r="I298" s="52" t="s">
        <v>283</v>
      </c>
      <c r="J298" s="53">
        <v>17270</v>
      </c>
      <c r="K298" s="54">
        <v>5</v>
      </c>
    </row>
    <row r="299" spans="1:11" hidden="1" x14ac:dyDescent="0.25">
      <c r="A299" s="39" t="s">
        <v>552</v>
      </c>
      <c r="B299" s="46" t="s">
        <v>285</v>
      </c>
      <c r="C299" s="39" t="s">
        <v>465</v>
      </c>
      <c r="D299" s="142">
        <v>721919475</v>
      </c>
      <c r="E299" s="39" t="s">
        <v>256</v>
      </c>
      <c r="F299" s="81">
        <v>36431</v>
      </c>
      <c r="G299" s="105" t="str">
        <f t="shared" si="8"/>
        <v>Sep</v>
      </c>
      <c r="H299" s="51">
        <f t="shared" ca="1" si="9"/>
        <v>17</v>
      </c>
      <c r="I299" s="52" t="s">
        <v>257</v>
      </c>
      <c r="J299" s="53">
        <v>35820</v>
      </c>
      <c r="K299" s="54">
        <v>2</v>
      </c>
    </row>
    <row r="300" spans="1:11" x14ac:dyDescent="0.25">
      <c r="A300" s="39" t="s">
        <v>600</v>
      </c>
      <c r="B300" s="46" t="s">
        <v>271</v>
      </c>
      <c r="C300" s="39" t="s">
        <v>465</v>
      </c>
      <c r="D300" s="142">
        <v>541519635</v>
      </c>
      <c r="E300" s="39" t="s">
        <v>256</v>
      </c>
      <c r="F300" s="81">
        <v>37509</v>
      </c>
      <c r="G300" s="105" t="str">
        <f t="shared" si="8"/>
        <v>Sep</v>
      </c>
      <c r="H300" s="51">
        <f t="shared" ca="1" si="9"/>
        <v>14</v>
      </c>
      <c r="I300" s="52" t="s">
        <v>283</v>
      </c>
      <c r="J300" s="53">
        <v>69080</v>
      </c>
      <c r="K300" s="54">
        <v>3</v>
      </c>
    </row>
    <row r="301" spans="1:11" hidden="1" x14ac:dyDescent="0.25">
      <c r="A301" s="39" t="s">
        <v>612</v>
      </c>
      <c r="B301" s="46" t="s">
        <v>285</v>
      </c>
      <c r="C301" s="39" t="s">
        <v>465</v>
      </c>
      <c r="D301" s="142">
        <v>536598946</v>
      </c>
      <c r="E301" s="39" t="s">
        <v>256</v>
      </c>
      <c r="F301" s="81">
        <v>37866</v>
      </c>
      <c r="G301" s="105" t="str">
        <f t="shared" si="8"/>
        <v>Sep</v>
      </c>
      <c r="H301" s="51">
        <f t="shared" ca="1" si="9"/>
        <v>13</v>
      </c>
      <c r="I301" s="52" t="s">
        <v>262</v>
      </c>
      <c r="J301" s="53">
        <v>54230</v>
      </c>
      <c r="K301" s="54">
        <v>5</v>
      </c>
    </row>
    <row r="302" spans="1:11" hidden="1" x14ac:dyDescent="0.25">
      <c r="A302" s="39" t="s">
        <v>509</v>
      </c>
      <c r="B302" s="46" t="s">
        <v>280</v>
      </c>
      <c r="C302" s="39" t="s">
        <v>465</v>
      </c>
      <c r="D302" s="142">
        <v>378229868</v>
      </c>
      <c r="E302" s="39" t="s">
        <v>256</v>
      </c>
      <c r="F302" s="81">
        <v>39348</v>
      </c>
      <c r="G302" s="105" t="str">
        <f t="shared" si="8"/>
        <v>Sep</v>
      </c>
      <c r="H302" s="51">
        <f t="shared" ca="1" si="9"/>
        <v>9</v>
      </c>
      <c r="I302" s="52" t="s">
        <v>257</v>
      </c>
      <c r="J302" s="53">
        <v>46220</v>
      </c>
      <c r="K302" s="54">
        <v>2</v>
      </c>
    </row>
    <row r="303" spans="1:11" x14ac:dyDescent="0.25">
      <c r="A303" s="39" t="s">
        <v>479</v>
      </c>
      <c r="B303" s="46" t="s">
        <v>271</v>
      </c>
      <c r="C303" s="39" t="s">
        <v>465</v>
      </c>
      <c r="D303" s="142">
        <v>340814700</v>
      </c>
      <c r="E303" s="39" t="s">
        <v>256</v>
      </c>
      <c r="F303" s="81">
        <v>39696</v>
      </c>
      <c r="G303" s="105" t="str">
        <f t="shared" si="8"/>
        <v>Sep</v>
      </c>
      <c r="H303" s="51">
        <f t="shared" ca="1" si="9"/>
        <v>8</v>
      </c>
      <c r="I303" s="52" t="s">
        <v>257</v>
      </c>
      <c r="J303" s="53">
        <v>69320</v>
      </c>
      <c r="K303" s="54">
        <v>3</v>
      </c>
    </row>
    <row r="304" spans="1:11" hidden="1" x14ac:dyDescent="0.25">
      <c r="A304" s="39" t="s">
        <v>606</v>
      </c>
      <c r="B304" s="46" t="s">
        <v>285</v>
      </c>
      <c r="C304" s="39" t="s">
        <v>465</v>
      </c>
      <c r="D304" s="142">
        <v>658156807</v>
      </c>
      <c r="E304" s="39" t="s">
        <v>247</v>
      </c>
      <c r="F304" s="103">
        <v>40449</v>
      </c>
      <c r="G304" s="105" t="str">
        <f t="shared" si="8"/>
        <v>Sep</v>
      </c>
      <c r="H304" s="51">
        <f t="shared" ca="1" si="9"/>
        <v>6</v>
      </c>
      <c r="I304" s="52"/>
      <c r="J304" s="53">
        <v>88840</v>
      </c>
      <c r="K304" s="54">
        <v>5</v>
      </c>
    </row>
    <row r="305" spans="1:11" hidden="1" x14ac:dyDescent="0.25">
      <c r="A305" s="39" t="s">
        <v>472</v>
      </c>
      <c r="B305" s="46" t="s">
        <v>280</v>
      </c>
      <c r="C305" s="39" t="s">
        <v>465</v>
      </c>
      <c r="D305" s="142">
        <v>405113634</v>
      </c>
      <c r="E305" s="39" t="s">
        <v>247</v>
      </c>
      <c r="F305" s="81">
        <v>34265</v>
      </c>
      <c r="G305" s="105" t="str">
        <f t="shared" si="8"/>
        <v>Oct</v>
      </c>
      <c r="H305" s="51">
        <f t="shared" ca="1" si="9"/>
        <v>23</v>
      </c>
      <c r="I305" s="52"/>
      <c r="J305" s="53">
        <v>35460</v>
      </c>
      <c r="K305" s="54">
        <v>3</v>
      </c>
    </row>
    <row r="306" spans="1:11" hidden="1" x14ac:dyDescent="0.25">
      <c r="A306" s="39" t="s">
        <v>543</v>
      </c>
      <c r="B306" s="46" t="s">
        <v>251</v>
      </c>
      <c r="C306" s="39" t="s">
        <v>465</v>
      </c>
      <c r="D306" s="142">
        <v>304216315</v>
      </c>
      <c r="E306" s="39" t="s">
        <v>261</v>
      </c>
      <c r="F306" s="81">
        <v>35343</v>
      </c>
      <c r="G306" s="105" t="str">
        <f t="shared" si="8"/>
        <v>Oct</v>
      </c>
      <c r="H306" s="51">
        <f t="shared" ca="1" si="9"/>
        <v>20</v>
      </c>
      <c r="I306" s="52" t="s">
        <v>257</v>
      </c>
      <c r="J306" s="53">
        <v>46645</v>
      </c>
      <c r="K306" s="54">
        <v>5</v>
      </c>
    </row>
    <row r="307" spans="1:11" x14ac:dyDescent="0.25">
      <c r="A307" s="39" t="s">
        <v>467</v>
      </c>
      <c r="B307" s="46" t="s">
        <v>271</v>
      </c>
      <c r="C307" s="39" t="s">
        <v>465</v>
      </c>
      <c r="D307" s="142">
        <v>306485800</v>
      </c>
      <c r="E307" s="39" t="s">
        <v>247</v>
      </c>
      <c r="F307" s="81">
        <v>35349</v>
      </c>
      <c r="G307" s="105" t="str">
        <f t="shared" si="8"/>
        <v>Oct</v>
      </c>
      <c r="H307" s="51">
        <f t="shared" ca="1" si="9"/>
        <v>20</v>
      </c>
      <c r="I307" s="52"/>
      <c r="J307" s="53">
        <v>52940</v>
      </c>
      <c r="K307" s="54">
        <v>4</v>
      </c>
    </row>
    <row r="308" spans="1:11" x14ac:dyDescent="0.25">
      <c r="A308" s="39" t="s">
        <v>575</v>
      </c>
      <c r="B308" s="46" t="s">
        <v>271</v>
      </c>
      <c r="C308" s="39" t="s">
        <v>465</v>
      </c>
      <c r="D308" s="142">
        <v>259031813</v>
      </c>
      <c r="E308" s="39" t="s">
        <v>256</v>
      </c>
      <c r="F308" s="81">
        <v>35356</v>
      </c>
      <c r="G308" s="105" t="str">
        <f t="shared" si="8"/>
        <v>Oct</v>
      </c>
      <c r="H308" s="51">
        <f t="shared" ca="1" si="9"/>
        <v>20</v>
      </c>
      <c r="I308" s="52" t="s">
        <v>262</v>
      </c>
      <c r="J308" s="53">
        <v>45480</v>
      </c>
      <c r="K308" s="54">
        <v>4</v>
      </c>
    </row>
    <row r="309" spans="1:11" hidden="1" x14ac:dyDescent="0.25">
      <c r="A309" s="39" t="s">
        <v>473</v>
      </c>
      <c r="B309" s="46" t="s">
        <v>266</v>
      </c>
      <c r="C309" s="39" t="s">
        <v>465</v>
      </c>
      <c r="D309" s="142">
        <v>433875893</v>
      </c>
      <c r="E309" s="39" t="s">
        <v>247</v>
      </c>
      <c r="F309" s="81">
        <v>35360</v>
      </c>
      <c r="G309" s="105" t="str">
        <f t="shared" si="8"/>
        <v>Oct</v>
      </c>
      <c r="H309" s="51">
        <f t="shared" ca="1" si="9"/>
        <v>20</v>
      </c>
      <c r="I309" s="52"/>
      <c r="J309" s="53">
        <v>28260</v>
      </c>
      <c r="K309" s="54">
        <v>5</v>
      </c>
    </row>
    <row r="310" spans="1:11" hidden="1" x14ac:dyDescent="0.25">
      <c r="A310" s="39" t="s">
        <v>550</v>
      </c>
      <c r="B310" s="46" t="s">
        <v>266</v>
      </c>
      <c r="C310" s="39" t="s">
        <v>465</v>
      </c>
      <c r="D310" s="142">
        <v>384161218</v>
      </c>
      <c r="E310" s="39" t="s">
        <v>256</v>
      </c>
      <c r="F310" s="81">
        <v>35361</v>
      </c>
      <c r="G310" s="105" t="str">
        <f t="shared" si="8"/>
        <v>Oct</v>
      </c>
      <c r="H310" s="51">
        <f t="shared" ca="1" si="9"/>
        <v>20</v>
      </c>
      <c r="I310" s="52" t="s">
        <v>257</v>
      </c>
      <c r="J310" s="53">
        <v>59320</v>
      </c>
      <c r="K310" s="54">
        <v>4</v>
      </c>
    </row>
    <row r="311" spans="1:11" hidden="1" x14ac:dyDescent="0.25">
      <c r="A311" s="39" t="s">
        <v>580</v>
      </c>
      <c r="B311" s="46" t="s">
        <v>245</v>
      </c>
      <c r="C311" s="39" t="s">
        <v>465</v>
      </c>
      <c r="D311" s="142">
        <v>555795817</v>
      </c>
      <c r="E311" s="39" t="s">
        <v>256</v>
      </c>
      <c r="F311" s="81">
        <v>35714</v>
      </c>
      <c r="G311" s="105" t="str">
        <f t="shared" si="8"/>
        <v>Oct</v>
      </c>
      <c r="H311" s="51">
        <f t="shared" ca="1" si="9"/>
        <v>19</v>
      </c>
      <c r="I311" s="52" t="s">
        <v>262</v>
      </c>
      <c r="J311" s="53">
        <v>70020</v>
      </c>
      <c r="K311" s="54">
        <v>3</v>
      </c>
    </row>
    <row r="312" spans="1:11" hidden="1" x14ac:dyDescent="0.25">
      <c r="A312" s="39" t="s">
        <v>504</v>
      </c>
      <c r="B312" s="46" t="s">
        <v>280</v>
      </c>
      <c r="C312" s="39" t="s">
        <v>465</v>
      </c>
      <c r="D312" s="142">
        <v>552732056</v>
      </c>
      <c r="E312" s="39" t="s">
        <v>256</v>
      </c>
      <c r="F312" s="81">
        <v>36084</v>
      </c>
      <c r="G312" s="105" t="str">
        <f t="shared" si="8"/>
        <v>Oct</v>
      </c>
      <c r="H312" s="51">
        <f t="shared" ca="1" si="9"/>
        <v>18</v>
      </c>
      <c r="I312" s="52" t="s">
        <v>257</v>
      </c>
      <c r="J312" s="53">
        <v>33210</v>
      </c>
      <c r="K312" s="54">
        <v>4</v>
      </c>
    </row>
    <row r="313" spans="1:11" hidden="1" x14ac:dyDescent="0.25">
      <c r="A313" s="39" t="s">
        <v>553</v>
      </c>
      <c r="B313" s="46" t="s">
        <v>245</v>
      </c>
      <c r="C313" s="39" t="s">
        <v>465</v>
      </c>
      <c r="D313" s="142">
        <v>723983510</v>
      </c>
      <c r="E313" s="39" t="s">
        <v>256</v>
      </c>
      <c r="F313" s="81">
        <v>36444</v>
      </c>
      <c r="G313" s="105" t="str">
        <f t="shared" si="8"/>
        <v>Oct</v>
      </c>
      <c r="H313" s="51">
        <f t="shared" ca="1" si="9"/>
        <v>17</v>
      </c>
      <c r="I313" s="52" t="s">
        <v>257</v>
      </c>
      <c r="J313" s="53">
        <v>67280</v>
      </c>
      <c r="K313" s="54">
        <v>3</v>
      </c>
    </row>
    <row r="314" spans="1:11" x14ac:dyDescent="0.25">
      <c r="A314" s="39" t="s">
        <v>505</v>
      </c>
      <c r="B314" s="46" t="s">
        <v>271</v>
      </c>
      <c r="C314" s="39" t="s">
        <v>465</v>
      </c>
      <c r="D314" s="142">
        <v>867774046</v>
      </c>
      <c r="E314" s="39" t="s">
        <v>247</v>
      </c>
      <c r="F314" s="81">
        <v>36455</v>
      </c>
      <c r="G314" s="105" t="str">
        <f t="shared" si="8"/>
        <v>Oct</v>
      </c>
      <c r="H314" s="51">
        <f t="shared" ca="1" si="9"/>
        <v>17</v>
      </c>
      <c r="I314" s="52"/>
      <c r="J314" s="53">
        <v>23810</v>
      </c>
      <c r="K314" s="54">
        <v>4</v>
      </c>
    </row>
    <row r="315" spans="1:11" hidden="1" x14ac:dyDescent="0.25">
      <c r="A315" s="39" t="s">
        <v>502</v>
      </c>
      <c r="B315" s="46" t="s">
        <v>266</v>
      </c>
      <c r="C315" s="39" t="s">
        <v>465</v>
      </c>
      <c r="D315" s="142">
        <v>595932450</v>
      </c>
      <c r="E315" s="39" t="s">
        <v>247</v>
      </c>
      <c r="F315" s="81">
        <v>37899</v>
      </c>
      <c r="G315" s="105" t="str">
        <f t="shared" si="8"/>
        <v>Oct</v>
      </c>
      <c r="H315" s="51">
        <f t="shared" ca="1" si="9"/>
        <v>13</v>
      </c>
      <c r="I315" s="52"/>
      <c r="J315" s="53">
        <v>64220</v>
      </c>
      <c r="K315" s="54">
        <v>5</v>
      </c>
    </row>
    <row r="316" spans="1:11" hidden="1" x14ac:dyDescent="0.25">
      <c r="A316" s="39" t="s">
        <v>544</v>
      </c>
      <c r="B316" s="46" t="s">
        <v>245</v>
      </c>
      <c r="C316" s="39" t="s">
        <v>465</v>
      </c>
      <c r="D316" s="142">
        <v>550001349</v>
      </c>
      <c r="E316" s="39" t="s">
        <v>247</v>
      </c>
      <c r="F316" s="81">
        <v>38289</v>
      </c>
      <c r="G316" s="105" t="str">
        <f t="shared" si="8"/>
        <v>Oct</v>
      </c>
      <c r="H316" s="51">
        <f t="shared" ca="1" si="9"/>
        <v>12</v>
      </c>
      <c r="I316" s="52"/>
      <c r="J316" s="53">
        <v>71830</v>
      </c>
      <c r="K316" s="54">
        <v>3</v>
      </c>
    </row>
    <row r="317" spans="1:11" hidden="1" x14ac:dyDescent="0.25">
      <c r="A317" s="39" t="s">
        <v>526</v>
      </c>
      <c r="B317" s="46" t="s">
        <v>266</v>
      </c>
      <c r="C317" s="39" t="s">
        <v>465</v>
      </c>
      <c r="D317" s="142">
        <v>685456187</v>
      </c>
      <c r="E317" s="39" t="s">
        <v>252</v>
      </c>
      <c r="F317" s="81">
        <v>39747</v>
      </c>
      <c r="G317" s="105" t="str">
        <f t="shared" si="8"/>
        <v>Oct</v>
      </c>
      <c r="H317" s="51">
        <f t="shared" ca="1" si="9"/>
        <v>8</v>
      </c>
      <c r="I317" s="52"/>
      <c r="J317" s="53">
        <v>10572</v>
      </c>
      <c r="K317" s="54">
        <v>4</v>
      </c>
    </row>
    <row r="318" spans="1:11" x14ac:dyDescent="0.25">
      <c r="A318" s="39" t="s">
        <v>563</v>
      </c>
      <c r="B318" s="46" t="s">
        <v>271</v>
      </c>
      <c r="C318" s="39" t="s">
        <v>465</v>
      </c>
      <c r="D318" s="142">
        <v>161738778</v>
      </c>
      <c r="E318" s="39" t="s">
        <v>247</v>
      </c>
      <c r="F318" s="81">
        <v>40470</v>
      </c>
      <c r="G318" s="105" t="str">
        <f t="shared" si="8"/>
        <v>Oct</v>
      </c>
      <c r="H318" s="51">
        <f t="shared" ca="1" si="9"/>
        <v>6</v>
      </c>
      <c r="I318" s="52"/>
      <c r="J318" s="53">
        <v>37840</v>
      </c>
      <c r="K318" s="54">
        <v>1</v>
      </c>
    </row>
    <row r="319" spans="1:11" hidden="1" x14ac:dyDescent="0.25">
      <c r="A319" s="39" t="s">
        <v>611</v>
      </c>
      <c r="B319" s="46" t="s">
        <v>245</v>
      </c>
      <c r="C319" s="39" t="s">
        <v>465</v>
      </c>
      <c r="D319" s="142">
        <v>842218184</v>
      </c>
      <c r="E319" s="39" t="s">
        <v>256</v>
      </c>
      <c r="F319" s="81">
        <v>35020</v>
      </c>
      <c r="G319" s="105" t="str">
        <f t="shared" si="8"/>
        <v>Nov</v>
      </c>
      <c r="H319" s="51">
        <f t="shared" ca="1" si="9"/>
        <v>20</v>
      </c>
      <c r="I319" s="52" t="s">
        <v>262</v>
      </c>
      <c r="J319" s="53">
        <v>38940</v>
      </c>
      <c r="K319" s="54">
        <v>2</v>
      </c>
    </row>
    <row r="320" spans="1:11" hidden="1" x14ac:dyDescent="0.25">
      <c r="A320" s="39" t="s">
        <v>495</v>
      </c>
      <c r="B320" s="46" t="s">
        <v>285</v>
      </c>
      <c r="C320" s="39" t="s">
        <v>465</v>
      </c>
      <c r="D320" s="142">
        <v>443686803</v>
      </c>
      <c r="E320" s="39" t="s">
        <v>256</v>
      </c>
      <c r="F320" s="81">
        <v>35024</v>
      </c>
      <c r="G320" s="105" t="str">
        <f t="shared" si="8"/>
        <v>Nov</v>
      </c>
      <c r="H320" s="51">
        <f t="shared" ca="1" si="9"/>
        <v>20</v>
      </c>
      <c r="I320" s="52" t="s">
        <v>283</v>
      </c>
      <c r="J320" s="53">
        <v>73072</v>
      </c>
      <c r="K320" s="54">
        <v>5</v>
      </c>
    </row>
    <row r="321" spans="1:11" x14ac:dyDescent="0.25">
      <c r="A321" s="39" t="s">
        <v>570</v>
      </c>
      <c r="B321" s="46" t="s">
        <v>271</v>
      </c>
      <c r="C321" s="39" t="s">
        <v>465</v>
      </c>
      <c r="D321" s="142">
        <v>477177544</v>
      </c>
      <c r="E321" s="39" t="s">
        <v>247</v>
      </c>
      <c r="F321" s="81">
        <v>35379</v>
      </c>
      <c r="G321" s="105" t="str">
        <f t="shared" si="8"/>
        <v>Nov</v>
      </c>
      <c r="H321" s="51">
        <f t="shared" ca="1" si="9"/>
        <v>20</v>
      </c>
      <c r="I321" s="52"/>
      <c r="J321" s="53">
        <v>66010</v>
      </c>
      <c r="K321" s="54">
        <v>2</v>
      </c>
    </row>
    <row r="322" spans="1:11" x14ac:dyDescent="0.25">
      <c r="A322" s="39" t="s">
        <v>568</v>
      </c>
      <c r="B322" s="46" t="s">
        <v>271</v>
      </c>
      <c r="C322" s="39" t="s">
        <v>465</v>
      </c>
      <c r="D322" s="142">
        <v>546182608</v>
      </c>
      <c r="E322" s="39" t="s">
        <v>256</v>
      </c>
      <c r="F322" s="81">
        <v>36101</v>
      </c>
      <c r="G322" s="105" t="str">
        <f t="shared" ref="G322:G385" si="10">CHOOSE(MONTH(F322),"Jan","Feb","Mar","Apr","May","Jun","Jul","Aug","Sep","Oct","Nov","Dec")</f>
        <v>Nov</v>
      </c>
      <c r="H322" s="51">
        <f t="shared" ref="H322:H385" ca="1" si="11">DATEDIF(F322,TODAY(),"Y")</f>
        <v>18</v>
      </c>
      <c r="I322" s="52" t="s">
        <v>257</v>
      </c>
      <c r="J322" s="53">
        <v>88240</v>
      </c>
      <c r="K322" s="54">
        <v>5</v>
      </c>
    </row>
    <row r="323" spans="1:11" hidden="1" x14ac:dyDescent="0.25">
      <c r="A323" s="39" t="s">
        <v>490</v>
      </c>
      <c r="B323" s="46" t="s">
        <v>245</v>
      </c>
      <c r="C323" s="39" t="s">
        <v>465</v>
      </c>
      <c r="D323" s="142">
        <v>122640584</v>
      </c>
      <c r="E323" s="39" t="s">
        <v>256</v>
      </c>
      <c r="F323" s="81">
        <v>36122</v>
      </c>
      <c r="G323" s="105" t="str">
        <f t="shared" si="10"/>
        <v>Nov</v>
      </c>
      <c r="H323" s="51">
        <f t="shared" ca="1" si="11"/>
        <v>17</v>
      </c>
      <c r="I323" s="52" t="s">
        <v>262</v>
      </c>
      <c r="J323" s="53">
        <v>22660</v>
      </c>
      <c r="K323" s="54">
        <v>2</v>
      </c>
    </row>
    <row r="324" spans="1:11" hidden="1" x14ac:dyDescent="0.25">
      <c r="A324" s="39" t="s">
        <v>528</v>
      </c>
      <c r="B324" s="46" t="s">
        <v>266</v>
      </c>
      <c r="C324" s="39" t="s">
        <v>465</v>
      </c>
      <c r="D324" s="142">
        <v>910672133</v>
      </c>
      <c r="E324" s="39" t="s">
        <v>256</v>
      </c>
      <c r="F324" s="81">
        <v>37936</v>
      </c>
      <c r="G324" s="105" t="str">
        <f t="shared" si="10"/>
        <v>Nov</v>
      </c>
      <c r="H324" s="51">
        <f t="shared" ca="1" si="11"/>
        <v>13</v>
      </c>
      <c r="I324" s="52" t="s">
        <v>283</v>
      </c>
      <c r="J324" s="53">
        <v>30920</v>
      </c>
      <c r="K324" s="54">
        <v>5</v>
      </c>
    </row>
    <row r="325" spans="1:11" x14ac:dyDescent="0.25">
      <c r="A325" s="39" t="s">
        <v>503</v>
      </c>
      <c r="B325" s="46" t="s">
        <v>271</v>
      </c>
      <c r="C325" s="39" t="s">
        <v>465</v>
      </c>
      <c r="D325" s="142">
        <v>705336720</v>
      </c>
      <c r="E325" s="39" t="s">
        <v>256</v>
      </c>
      <c r="F325" s="81">
        <v>37943</v>
      </c>
      <c r="G325" s="105" t="str">
        <f t="shared" si="10"/>
        <v>Nov</v>
      </c>
      <c r="H325" s="51">
        <f t="shared" ca="1" si="11"/>
        <v>12</v>
      </c>
      <c r="I325" s="52" t="s">
        <v>257</v>
      </c>
      <c r="J325" s="53">
        <v>75176</v>
      </c>
      <c r="K325" s="54">
        <v>3</v>
      </c>
    </row>
    <row r="326" spans="1:11" hidden="1" x14ac:dyDescent="0.25">
      <c r="A326" s="39" t="s">
        <v>508</v>
      </c>
      <c r="B326" s="46" t="s">
        <v>285</v>
      </c>
      <c r="C326" s="39" t="s">
        <v>465</v>
      </c>
      <c r="D326" s="142">
        <v>272167923</v>
      </c>
      <c r="E326" s="39" t="s">
        <v>247</v>
      </c>
      <c r="F326" s="81">
        <v>38321</v>
      </c>
      <c r="G326" s="105" t="str">
        <f t="shared" si="10"/>
        <v>Nov</v>
      </c>
      <c r="H326" s="51">
        <f t="shared" ca="1" si="11"/>
        <v>11</v>
      </c>
      <c r="I326" s="52"/>
      <c r="J326" s="53">
        <v>37980</v>
      </c>
      <c r="K326" s="54">
        <v>4</v>
      </c>
    </row>
    <row r="327" spans="1:11" hidden="1" x14ac:dyDescent="0.25">
      <c r="A327" s="39" t="s">
        <v>516</v>
      </c>
      <c r="B327" s="46" t="s">
        <v>266</v>
      </c>
      <c r="C327" s="39" t="s">
        <v>465</v>
      </c>
      <c r="D327" s="142">
        <v>907064634</v>
      </c>
      <c r="E327" s="39" t="s">
        <v>256</v>
      </c>
      <c r="F327" s="81">
        <v>38321</v>
      </c>
      <c r="G327" s="105" t="str">
        <f t="shared" si="10"/>
        <v>Nov</v>
      </c>
      <c r="H327" s="51">
        <f t="shared" ca="1" si="11"/>
        <v>11</v>
      </c>
      <c r="I327" s="52" t="s">
        <v>262</v>
      </c>
      <c r="J327" s="53">
        <v>70760</v>
      </c>
      <c r="K327" s="54">
        <v>1</v>
      </c>
    </row>
    <row r="328" spans="1:11" hidden="1" x14ac:dyDescent="0.25">
      <c r="A328" s="39" t="s">
        <v>583</v>
      </c>
      <c r="B328" s="46" t="s">
        <v>285</v>
      </c>
      <c r="C328" s="39" t="s">
        <v>465</v>
      </c>
      <c r="D328" s="142">
        <v>958491107</v>
      </c>
      <c r="E328" s="39" t="s">
        <v>256</v>
      </c>
      <c r="F328" s="81">
        <v>38664</v>
      </c>
      <c r="G328" s="105" t="str">
        <f t="shared" si="10"/>
        <v>Nov</v>
      </c>
      <c r="H328" s="51">
        <f t="shared" ca="1" si="11"/>
        <v>11</v>
      </c>
      <c r="I328" s="52" t="s">
        <v>257</v>
      </c>
      <c r="J328" s="53">
        <v>61060</v>
      </c>
      <c r="K328" s="54">
        <v>5</v>
      </c>
    </row>
    <row r="329" spans="1:11" x14ac:dyDescent="0.25">
      <c r="A329" s="39" t="s">
        <v>564</v>
      </c>
      <c r="B329" s="46" t="s">
        <v>271</v>
      </c>
      <c r="C329" s="39" t="s">
        <v>465</v>
      </c>
      <c r="D329" s="142">
        <v>345428470</v>
      </c>
      <c r="E329" s="39" t="s">
        <v>256</v>
      </c>
      <c r="F329" s="81">
        <v>39390</v>
      </c>
      <c r="G329" s="105" t="str">
        <f t="shared" si="10"/>
        <v>Nov</v>
      </c>
      <c r="H329" s="51">
        <f t="shared" ca="1" si="11"/>
        <v>9</v>
      </c>
      <c r="I329" s="52" t="s">
        <v>267</v>
      </c>
      <c r="J329" s="53">
        <v>71490</v>
      </c>
      <c r="K329" s="54">
        <v>5</v>
      </c>
    </row>
    <row r="330" spans="1:11" hidden="1" x14ac:dyDescent="0.25">
      <c r="A330" s="39" t="s">
        <v>488</v>
      </c>
      <c r="B330" s="46" t="s">
        <v>266</v>
      </c>
      <c r="C330" s="39" t="s">
        <v>465</v>
      </c>
      <c r="D330" s="142">
        <v>642997417</v>
      </c>
      <c r="E330" s="39" t="s">
        <v>247</v>
      </c>
      <c r="F330" s="81">
        <v>34671</v>
      </c>
      <c r="G330" s="105" t="str">
        <f t="shared" si="10"/>
        <v>Dec</v>
      </c>
      <c r="H330" s="51">
        <f t="shared" ca="1" si="11"/>
        <v>21</v>
      </c>
      <c r="I330" s="52"/>
      <c r="J330" s="53">
        <v>80690</v>
      </c>
      <c r="K330" s="54">
        <v>3</v>
      </c>
    </row>
    <row r="331" spans="1:11" x14ac:dyDescent="0.25">
      <c r="A331" s="39" t="s">
        <v>521</v>
      </c>
      <c r="B331" s="46" t="s">
        <v>271</v>
      </c>
      <c r="C331" s="39" t="s">
        <v>465</v>
      </c>
      <c r="D331" s="142">
        <v>345651549</v>
      </c>
      <c r="E331" s="39" t="s">
        <v>261</v>
      </c>
      <c r="F331" s="81">
        <v>36503</v>
      </c>
      <c r="G331" s="105" t="str">
        <f t="shared" si="10"/>
        <v>Dec</v>
      </c>
      <c r="H331" s="51">
        <f t="shared" ca="1" si="11"/>
        <v>16</v>
      </c>
      <c r="I331" s="52" t="s">
        <v>267</v>
      </c>
      <c r="J331" s="53">
        <v>41615</v>
      </c>
      <c r="K331" s="54">
        <v>1</v>
      </c>
    </row>
    <row r="332" spans="1:11" hidden="1" x14ac:dyDescent="0.25">
      <c r="A332" s="39" t="s">
        <v>558</v>
      </c>
      <c r="B332" s="46" t="s">
        <v>280</v>
      </c>
      <c r="C332" s="39" t="s">
        <v>465</v>
      </c>
      <c r="D332" s="142">
        <v>559708965</v>
      </c>
      <c r="E332" s="39" t="s">
        <v>256</v>
      </c>
      <c r="F332" s="81">
        <v>37229</v>
      </c>
      <c r="G332" s="105" t="str">
        <f t="shared" si="10"/>
        <v>Dec</v>
      </c>
      <c r="H332" s="51">
        <f t="shared" ca="1" si="11"/>
        <v>14</v>
      </c>
      <c r="I332" s="52" t="s">
        <v>283</v>
      </c>
      <c r="J332" s="53">
        <v>25310</v>
      </c>
      <c r="K332" s="54">
        <v>4</v>
      </c>
    </row>
    <row r="333" spans="1:11" hidden="1" x14ac:dyDescent="0.25">
      <c r="A333" s="39" t="s">
        <v>527</v>
      </c>
      <c r="B333" s="46" t="s">
        <v>245</v>
      </c>
      <c r="C333" s="39" t="s">
        <v>465</v>
      </c>
      <c r="D333" s="142">
        <v>756744378</v>
      </c>
      <c r="E333" s="39" t="s">
        <v>261</v>
      </c>
      <c r="F333" s="81">
        <v>37620</v>
      </c>
      <c r="G333" s="105" t="str">
        <f t="shared" si="10"/>
        <v>Dec</v>
      </c>
      <c r="H333" s="51">
        <f t="shared" ca="1" si="11"/>
        <v>13</v>
      </c>
      <c r="I333" s="52" t="s">
        <v>257</v>
      </c>
      <c r="J333" s="53">
        <v>24460</v>
      </c>
      <c r="K333" s="54">
        <v>1</v>
      </c>
    </row>
    <row r="334" spans="1:11" hidden="1" x14ac:dyDescent="0.25">
      <c r="A334" s="39" t="s">
        <v>581</v>
      </c>
      <c r="B334" s="46" t="s">
        <v>266</v>
      </c>
      <c r="C334" s="39" t="s">
        <v>465</v>
      </c>
      <c r="D334" s="142">
        <v>685943972</v>
      </c>
      <c r="E334" s="39" t="s">
        <v>256</v>
      </c>
      <c r="F334" s="81">
        <v>40175</v>
      </c>
      <c r="G334" s="105" t="str">
        <f t="shared" si="10"/>
        <v>Dec</v>
      </c>
      <c r="H334" s="51">
        <f t="shared" ca="1" si="11"/>
        <v>6</v>
      </c>
      <c r="I334" s="52" t="s">
        <v>267</v>
      </c>
      <c r="J334" s="53">
        <v>34690</v>
      </c>
      <c r="K334" s="54">
        <v>2</v>
      </c>
    </row>
    <row r="335" spans="1:11" hidden="1" x14ac:dyDescent="0.25">
      <c r="A335" s="39" t="s">
        <v>620</v>
      </c>
      <c r="B335" s="46" t="s">
        <v>266</v>
      </c>
      <c r="C335" s="39" t="s">
        <v>618</v>
      </c>
      <c r="D335" s="142">
        <v>120345438</v>
      </c>
      <c r="E335" s="39" t="s">
        <v>247</v>
      </c>
      <c r="F335" s="103">
        <v>40292</v>
      </c>
      <c r="G335" s="105" t="str">
        <f t="shared" si="10"/>
        <v>Apr</v>
      </c>
      <c r="H335" s="51">
        <f t="shared" ca="1" si="11"/>
        <v>6</v>
      </c>
      <c r="I335" s="52"/>
      <c r="J335" s="53">
        <v>61890</v>
      </c>
      <c r="K335" s="54">
        <v>2</v>
      </c>
    </row>
    <row r="336" spans="1:11" hidden="1" x14ac:dyDescent="0.25">
      <c r="A336" s="39" t="s">
        <v>624</v>
      </c>
      <c r="B336" s="46" t="s">
        <v>251</v>
      </c>
      <c r="C336" s="39" t="s">
        <v>618</v>
      </c>
      <c r="D336" s="142">
        <v>207045843</v>
      </c>
      <c r="E336" s="39" t="s">
        <v>256</v>
      </c>
      <c r="F336" s="81">
        <v>37407</v>
      </c>
      <c r="G336" s="105" t="str">
        <f t="shared" si="10"/>
        <v>May</v>
      </c>
      <c r="H336" s="51">
        <f t="shared" ca="1" si="11"/>
        <v>14</v>
      </c>
      <c r="I336" s="52" t="s">
        <v>257</v>
      </c>
      <c r="J336" s="53">
        <v>59140</v>
      </c>
      <c r="K336" s="54">
        <v>5</v>
      </c>
    </row>
    <row r="337" spans="1:11" hidden="1" x14ac:dyDescent="0.25">
      <c r="A337" s="39" t="s">
        <v>623</v>
      </c>
      <c r="B337" s="46" t="s">
        <v>266</v>
      </c>
      <c r="C337" s="39" t="s">
        <v>618</v>
      </c>
      <c r="D337" s="142">
        <v>239619427</v>
      </c>
      <c r="E337" s="39" t="s">
        <v>256</v>
      </c>
      <c r="F337" s="103">
        <v>40313</v>
      </c>
      <c r="G337" s="105" t="str">
        <f t="shared" si="10"/>
        <v>May</v>
      </c>
      <c r="H337" s="51">
        <f t="shared" ca="1" si="11"/>
        <v>6</v>
      </c>
      <c r="I337" s="52" t="s">
        <v>283</v>
      </c>
      <c r="J337" s="53">
        <v>27250</v>
      </c>
      <c r="K337" s="54">
        <v>5</v>
      </c>
    </row>
    <row r="338" spans="1:11" hidden="1" x14ac:dyDescent="0.25">
      <c r="A338" s="39" t="s">
        <v>619</v>
      </c>
      <c r="B338" s="46" t="s">
        <v>280</v>
      </c>
      <c r="C338" s="39" t="s">
        <v>618</v>
      </c>
      <c r="D338" s="142">
        <v>990297868</v>
      </c>
      <c r="E338" s="39" t="s">
        <v>256</v>
      </c>
      <c r="F338" s="81">
        <v>33832</v>
      </c>
      <c r="G338" s="105" t="str">
        <f t="shared" si="10"/>
        <v>Aug</v>
      </c>
      <c r="H338" s="51">
        <f t="shared" ca="1" si="11"/>
        <v>24</v>
      </c>
      <c r="I338" s="52" t="s">
        <v>257</v>
      </c>
      <c r="J338" s="53">
        <v>39160</v>
      </c>
      <c r="K338" s="54">
        <v>3</v>
      </c>
    </row>
    <row r="339" spans="1:11" hidden="1" x14ac:dyDescent="0.25">
      <c r="A339" s="39" t="s">
        <v>617</v>
      </c>
      <c r="B339" s="46" t="s">
        <v>245</v>
      </c>
      <c r="C339" s="39" t="s">
        <v>618</v>
      </c>
      <c r="D339" s="142">
        <v>514726375</v>
      </c>
      <c r="E339" s="39" t="s">
        <v>247</v>
      </c>
      <c r="F339" s="81">
        <v>36765</v>
      </c>
      <c r="G339" s="105" t="str">
        <f t="shared" si="10"/>
        <v>Aug</v>
      </c>
      <c r="H339" s="51">
        <f t="shared" ca="1" si="11"/>
        <v>16</v>
      </c>
      <c r="I339" s="52"/>
      <c r="J339" s="53">
        <v>74500</v>
      </c>
      <c r="K339" s="54">
        <v>4</v>
      </c>
    </row>
    <row r="340" spans="1:11" hidden="1" x14ac:dyDescent="0.25">
      <c r="A340" s="39" t="s">
        <v>621</v>
      </c>
      <c r="B340" s="46" t="s">
        <v>285</v>
      </c>
      <c r="C340" s="39" t="s">
        <v>618</v>
      </c>
      <c r="D340" s="142">
        <v>322939853</v>
      </c>
      <c r="E340" s="39" t="s">
        <v>256</v>
      </c>
      <c r="F340" s="81">
        <v>37936</v>
      </c>
      <c r="G340" s="105" t="str">
        <f t="shared" si="10"/>
        <v>Nov</v>
      </c>
      <c r="H340" s="51">
        <f t="shared" ca="1" si="11"/>
        <v>13</v>
      </c>
      <c r="I340" s="52" t="s">
        <v>283</v>
      </c>
      <c r="J340" s="53">
        <v>53870</v>
      </c>
      <c r="K340" s="54">
        <v>2</v>
      </c>
    </row>
    <row r="341" spans="1:11" hidden="1" x14ac:dyDescent="0.25">
      <c r="A341" s="39" t="s">
        <v>622</v>
      </c>
      <c r="B341" s="46" t="s">
        <v>245</v>
      </c>
      <c r="C341" s="39" t="s">
        <v>618</v>
      </c>
      <c r="D341" s="142">
        <v>827551891</v>
      </c>
      <c r="E341" s="39" t="s">
        <v>256</v>
      </c>
      <c r="F341" s="81">
        <v>39038</v>
      </c>
      <c r="G341" s="105" t="str">
        <f t="shared" si="10"/>
        <v>Nov</v>
      </c>
      <c r="H341" s="51">
        <f t="shared" ca="1" si="11"/>
        <v>9</v>
      </c>
      <c r="I341" s="52" t="s">
        <v>276</v>
      </c>
      <c r="J341" s="53">
        <v>71400</v>
      </c>
      <c r="K341" s="54">
        <v>4</v>
      </c>
    </row>
    <row r="342" spans="1:11" hidden="1" x14ac:dyDescent="0.25">
      <c r="A342" s="39" t="s">
        <v>672</v>
      </c>
      <c r="B342" s="46" t="s">
        <v>280</v>
      </c>
      <c r="C342" s="39" t="s">
        <v>626</v>
      </c>
      <c r="D342" s="142">
        <v>171825470</v>
      </c>
      <c r="E342" s="39" t="s">
        <v>256</v>
      </c>
      <c r="F342" s="81">
        <v>33247</v>
      </c>
      <c r="G342" s="105" t="str">
        <f t="shared" si="10"/>
        <v>Jan</v>
      </c>
      <c r="H342" s="51">
        <f t="shared" ca="1" si="11"/>
        <v>25</v>
      </c>
      <c r="I342" s="52" t="s">
        <v>257</v>
      </c>
      <c r="J342" s="53">
        <v>62740</v>
      </c>
      <c r="K342" s="54">
        <v>4</v>
      </c>
    </row>
    <row r="343" spans="1:11" hidden="1" x14ac:dyDescent="0.25">
      <c r="A343" s="39" t="s">
        <v>651</v>
      </c>
      <c r="B343" s="46" t="s">
        <v>285</v>
      </c>
      <c r="C343" s="39" t="s">
        <v>626</v>
      </c>
      <c r="D343" s="142">
        <v>694065556</v>
      </c>
      <c r="E343" s="39" t="s">
        <v>256</v>
      </c>
      <c r="F343" s="81">
        <v>33606</v>
      </c>
      <c r="G343" s="105" t="str">
        <f t="shared" si="10"/>
        <v>Jan</v>
      </c>
      <c r="H343" s="51">
        <f t="shared" ca="1" si="11"/>
        <v>24</v>
      </c>
      <c r="I343" s="52" t="s">
        <v>262</v>
      </c>
      <c r="J343" s="53">
        <v>87120</v>
      </c>
      <c r="K343" s="54">
        <v>3</v>
      </c>
    </row>
    <row r="344" spans="1:11" hidden="1" x14ac:dyDescent="0.25">
      <c r="A344" s="39" t="s">
        <v>627</v>
      </c>
      <c r="B344" s="46" t="s">
        <v>285</v>
      </c>
      <c r="C344" s="39" t="s">
        <v>626</v>
      </c>
      <c r="D344" s="142">
        <v>943448320</v>
      </c>
      <c r="E344" s="39" t="s">
        <v>261</v>
      </c>
      <c r="F344" s="81">
        <v>38362</v>
      </c>
      <c r="G344" s="105" t="str">
        <f t="shared" si="10"/>
        <v>Jan</v>
      </c>
      <c r="H344" s="51">
        <f t="shared" ca="1" si="11"/>
        <v>11</v>
      </c>
      <c r="I344" s="52" t="s">
        <v>257</v>
      </c>
      <c r="J344" s="53">
        <v>31255</v>
      </c>
      <c r="K344" s="54">
        <v>5</v>
      </c>
    </row>
    <row r="345" spans="1:11" hidden="1" x14ac:dyDescent="0.25">
      <c r="A345" s="39" t="s">
        <v>629</v>
      </c>
      <c r="B345" s="46" t="s">
        <v>245</v>
      </c>
      <c r="C345" s="39" t="s">
        <v>626</v>
      </c>
      <c r="D345" s="142">
        <v>862506782</v>
      </c>
      <c r="E345" s="39" t="s">
        <v>261</v>
      </c>
      <c r="F345" s="81">
        <v>39098</v>
      </c>
      <c r="G345" s="105" t="str">
        <f t="shared" si="10"/>
        <v>Jan</v>
      </c>
      <c r="H345" s="51">
        <f t="shared" ca="1" si="11"/>
        <v>9</v>
      </c>
      <c r="I345" s="52" t="s">
        <v>283</v>
      </c>
      <c r="J345" s="53">
        <v>47705</v>
      </c>
      <c r="K345" s="54">
        <v>5</v>
      </c>
    </row>
    <row r="346" spans="1:11" x14ac:dyDescent="0.25">
      <c r="A346" s="39" t="s">
        <v>644</v>
      </c>
      <c r="B346" s="46" t="s">
        <v>271</v>
      </c>
      <c r="C346" s="39" t="s">
        <v>626</v>
      </c>
      <c r="D346" s="142">
        <v>885791115</v>
      </c>
      <c r="E346" s="39" t="s">
        <v>256</v>
      </c>
      <c r="F346" s="81">
        <v>40209</v>
      </c>
      <c r="G346" s="105" t="str">
        <f t="shared" si="10"/>
        <v>Jan</v>
      </c>
      <c r="H346" s="51">
        <f t="shared" ca="1" si="11"/>
        <v>6</v>
      </c>
      <c r="I346" s="52" t="s">
        <v>283</v>
      </c>
      <c r="J346" s="53">
        <v>45260</v>
      </c>
      <c r="K346" s="54">
        <v>4</v>
      </c>
    </row>
    <row r="347" spans="1:11" hidden="1" x14ac:dyDescent="0.25">
      <c r="A347" s="39" t="s">
        <v>657</v>
      </c>
      <c r="B347" s="46" t="s">
        <v>245</v>
      </c>
      <c r="C347" s="39" t="s">
        <v>626</v>
      </c>
      <c r="D347" s="142">
        <v>677986742</v>
      </c>
      <c r="E347" s="39" t="s">
        <v>247</v>
      </c>
      <c r="F347" s="81">
        <v>36192</v>
      </c>
      <c r="G347" s="105" t="str">
        <f t="shared" si="10"/>
        <v>Feb</v>
      </c>
      <c r="H347" s="51">
        <f t="shared" ca="1" si="11"/>
        <v>17</v>
      </c>
      <c r="I347" s="52"/>
      <c r="J347" s="53">
        <v>47620</v>
      </c>
      <c r="K347" s="54">
        <v>5</v>
      </c>
    </row>
    <row r="348" spans="1:11" hidden="1" x14ac:dyDescent="0.25">
      <c r="A348" s="39" t="s">
        <v>664</v>
      </c>
      <c r="B348" s="46" t="s">
        <v>251</v>
      </c>
      <c r="C348" s="39" t="s">
        <v>626</v>
      </c>
      <c r="D348" s="142">
        <v>917381822</v>
      </c>
      <c r="E348" s="39" t="s">
        <v>247</v>
      </c>
      <c r="F348" s="81">
        <v>36199</v>
      </c>
      <c r="G348" s="105" t="str">
        <f t="shared" si="10"/>
        <v>Feb</v>
      </c>
      <c r="H348" s="51">
        <f t="shared" ca="1" si="11"/>
        <v>17</v>
      </c>
      <c r="I348" s="52"/>
      <c r="J348" s="53">
        <v>31270</v>
      </c>
      <c r="K348" s="54">
        <v>5</v>
      </c>
    </row>
    <row r="349" spans="1:11" hidden="1" x14ac:dyDescent="0.25">
      <c r="A349" s="39" t="s">
        <v>665</v>
      </c>
      <c r="B349" s="46" t="s">
        <v>245</v>
      </c>
      <c r="C349" s="39" t="s">
        <v>626</v>
      </c>
      <c r="D349" s="142">
        <v>979116858</v>
      </c>
      <c r="E349" s="39" t="s">
        <v>256</v>
      </c>
      <c r="F349" s="81">
        <v>36940</v>
      </c>
      <c r="G349" s="105" t="str">
        <f t="shared" si="10"/>
        <v>Feb</v>
      </c>
      <c r="H349" s="51">
        <f t="shared" ca="1" si="11"/>
        <v>15</v>
      </c>
      <c r="I349" s="52" t="s">
        <v>257</v>
      </c>
      <c r="J349" s="53">
        <v>48990</v>
      </c>
      <c r="K349" s="54">
        <v>5</v>
      </c>
    </row>
    <row r="350" spans="1:11" hidden="1" x14ac:dyDescent="0.25">
      <c r="A350" s="39" t="s">
        <v>653</v>
      </c>
      <c r="B350" s="46" t="s">
        <v>245</v>
      </c>
      <c r="C350" s="39" t="s">
        <v>626</v>
      </c>
      <c r="D350" s="142">
        <v>682361988</v>
      </c>
      <c r="E350" s="39" t="s">
        <v>261</v>
      </c>
      <c r="F350" s="81">
        <v>39871</v>
      </c>
      <c r="G350" s="105" t="str">
        <f t="shared" si="10"/>
        <v>Feb</v>
      </c>
      <c r="H350" s="51">
        <f t="shared" ca="1" si="11"/>
        <v>7</v>
      </c>
      <c r="I350" s="52" t="s">
        <v>267</v>
      </c>
      <c r="J350" s="53">
        <v>38575</v>
      </c>
      <c r="K350" s="54">
        <v>2</v>
      </c>
    </row>
    <row r="351" spans="1:11" hidden="1" x14ac:dyDescent="0.25">
      <c r="A351" s="39" t="s">
        <v>654</v>
      </c>
      <c r="B351" s="46" t="s">
        <v>285</v>
      </c>
      <c r="C351" s="39" t="s">
        <v>626</v>
      </c>
      <c r="D351" s="142">
        <v>767017228</v>
      </c>
      <c r="E351" s="39" t="s">
        <v>252</v>
      </c>
      <c r="F351" s="81">
        <v>33305</v>
      </c>
      <c r="G351" s="105" t="str">
        <f t="shared" si="10"/>
        <v>Mar</v>
      </c>
      <c r="H351" s="51">
        <f t="shared" ca="1" si="11"/>
        <v>25</v>
      </c>
      <c r="I351" s="52"/>
      <c r="J351" s="53">
        <v>36844</v>
      </c>
      <c r="K351" s="54">
        <v>4</v>
      </c>
    </row>
    <row r="352" spans="1:11" x14ac:dyDescent="0.25">
      <c r="A352" s="39" t="s">
        <v>643</v>
      </c>
      <c r="B352" s="46" t="s">
        <v>271</v>
      </c>
      <c r="C352" s="39" t="s">
        <v>626</v>
      </c>
      <c r="D352" s="142">
        <v>399139820</v>
      </c>
      <c r="E352" s="39" t="s">
        <v>261</v>
      </c>
      <c r="F352" s="81">
        <v>33319</v>
      </c>
      <c r="G352" s="105" t="str">
        <f t="shared" si="10"/>
        <v>Mar</v>
      </c>
      <c r="H352" s="51">
        <f t="shared" ca="1" si="11"/>
        <v>25</v>
      </c>
      <c r="I352" s="52" t="s">
        <v>267</v>
      </c>
      <c r="J352" s="53">
        <v>13090</v>
      </c>
      <c r="K352" s="54">
        <v>4</v>
      </c>
    </row>
    <row r="353" spans="1:11" hidden="1" x14ac:dyDescent="0.25">
      <c r="A353" s="39" t="s">
        <v>638</v>
      </c>
      <c r="B353" s="46" t="s">
        <v>285</v>
      </c>
      <c r="C353" s="39" t="s">
        <v>626</v>
      </c>
      <c r="D353" s="142">
        <v>210874862</v>
      </c>
      <c r="E353" s="39" t="s">
        <v>256</v>
      </c>
      <c r="F353" s="81">
        <v>34034</v>
      </c>
      <c r="G353" s="105" t="str">
        <f t="shared" si="10"/>
        <v>Mar</v>
      </c>
      <c r="H353" s="51">
        <f t="shared" ca="1" si="11"/>
        <v>23</v>
      </c>
      <c r="I353" s="52" t="s">
        <v>267</v>
      </c>
      <c r="J353" s="53">
        <v>45180</v>
      </c>
      <c r="K353" s="54">
        <v>5</v>
      </c>
    </row>
    <row r="354" spans="1:11" hidden="1" x14ac:dyDescent="0.25">
      <c r="A354" s="39" t="s">
        <v>652</v>
      </c>
      <c r="B354" s="46" t="s">
        <v>266</v>
      </c>
      <c r="C354" s="39" t="s">
        <v>626</v>
      </c>
      <c r="D354" s="142">
        <v>674184236</v>
      </c>
      <c r="E354" s="39" t="s">
        <v>247</v>
      </c>
      <c r="F354" s="81">
        <v>34054</v>
      </c>
      <c r="G354" s="105" t="str">
        <f t="shared" si="10"/>
        <v>Mar</v>
      </c>
      <c r="H354" s="51">
        <f t="shared" ca="1" si="11"/>
        <v>23</v>
      </c>
      <c r="I354" s="52"/>
      <c r="J354" s="53">
        <v>29000</v>
      </c>
      <c r="K354" s="54">
        <v>5</v>
      </c>
    </row>
    <row r="355" spans="1:11" hidden="1" x14ac:dyDescent="0.25">
      <c r="A355" s="39" t="s">
        <v>671</v>
      </c>
      <c r="B355" s="46" t="s">
        <v>266</v>
      </c>
      <c r="C355" s="39" t="s">
        <v>626</v>
      </c>
      <c r="D355" s="142">
        <v>843245863</v>
      </c>
      <c r="E355" s="39" t="s">
        <v>247</v>
      </c>
      <c r="F355" s="81">
        <v>35518</v>
      </c>
      <c r="G355" s="105" t="str">
        <f t="shared" si="10"/>
        <v>Mar</v>
      </c>
      <c r="H355" s="51">
        <f t="shared" ca="1" si="11"/>
        <v>19</v>
      </c>
      <c r="I355" s="52"/>
      <c r="J355" s="53">
        <v>53870</v>
      </c>
      <c r="K355" s="54">
        <v>2</v>
      </c>
    </row>
    <row r="356" spans="1:11" hidden="1" x14ac:dyDescent="0.25">
      <c r="A356" s="39" t="s">
        <v>660</v>
      </c>
      <c r="B356" s="46" t="s">
        <v>245</v>
      </c>
      <c r="C356" s="39" t="s">
        <v>626</v>
      </c>
      <c r="D356" s="142">
        <v>895361839</v>
      </c>
      <c r="E356" s="39" t="s">
        <v>256</v>
      </c>
      <c r="F356" s="81">
        <v>35856</v>
      </c>
      <c r="G356" s="105" t="str">
        <f t="shared" si="10"/>
        <v>Mar</v>
      </c>
      <c r="H356" s="51">
        <f t="shared" ca="1" si="11"/>
        <v>18</v>
      </c>
      <c r="I356" s="52" t="s">
        <v>276</v>
      </c>
      <c r="J356" s="53">
        <v>86830</v>
      </c>
      <c r="K356" s="54">
        <v>3</v>
      </c>
    </row>
    <row r="357" spans="1:11" x14ac:dyDescent="0.25">
      <c r="A357" s="39" t="s">
        <v>635</v>
      </c>
      <c r="B357" s="46" t="s">
        <v>271</v>
      </c>
      <c r="C357" s="39" t="s">
        <v>626</v>
      </c>
      <c r="D357" s="142">
        <v>970855038</v>
      </c>
      <c r="E357" s="39" t="s">
        <v>256</v>
      </c>
      <c r="F357" s="81">
        <v>35857</v>
      </c>
      <c r="G357" s="105" t="str">
        <f t="shared" si="10"/>
        <v>Mar</v>
      </c>
      <c r="H357" s="51">
        <f t="shared" ca="1" si="11"/>
        <v>18</v>
      </c>
      <c r="I357" s="52" t="s">
        <v>283</v>
      </c>
      <c r="J357" s="53">
        <v>82110</v>
      </c>
      <c r="K357" s="54">
        <v>3</v>
      </c>
    </row>
    <row r="358" spans="1:11" hidden="1" x14ac:dyDescent="0.25">
      <c r="A358" s="39" t="s">
        <v>645</v>
      </c>
      <c r="B358" s="46" t="s">
        <v>245</v>
      </c>
      <c r="C358" s="39" t="s">
        <v>626</v>
      </c>
      <c r="D358" s="142">
        <v>935313931</v>
      </c>
      <c r="E358" s="39" t="s">
        <v>256</v>
      </c>
      <c r="F358" s="81">
        <v>39157</v>
      </c>
      <c r="G358" s="105" t="str">
        <f t="shared" si="10"/>
        <v>Mar</v>
      </c>
      <c r="H358" s="51">
        <f t="shared" ca="1" si="11"/>
        <v>9</v>
      </c>
      <c r="I358" s="52" t="s">
        <v>283</v>
      </c>
      <c r="J358" s="53">
        <v>47610</v>
      </c>
      <c r="K358" s="54">
        <v>4</v>
      </c>
    </row>
    <row r="359" spans="1:11" hidden="1" x14ac:dyDescent="0.25">
      <c r="A359" s="39" t="s">
        <v>642</v>
      </c>
      <c r="B359" s="46" t="s">
        <v>285</v>
      </c>
      <c r="C359" s="39" t="s">
        <v>626</v>
      </c>
      <c r="D359" s="142">
        <v>605738977</v>
      </c>
      <c r="E359" s="39" t="s">
        <v>256</v>
      </c>
      <c r="F359" s="81">
        <v>33695</v>
      </c>
      <c r="G359" s="105" t="str">
        <f t="shared" si="10"/>
        <v>Apr</v>
      </c>
      <c r="H359" s="51">
        <f t="shared" ca="1" si="11"/>
        <v>24</v>
      </c>
      <c r="I359" s="52" t="s">
        <v>262</v>
      </c>
      <c r="J359" s="53">
        <v>60560</v>
      </c>
      <c r="K359" s="54">
        <v>4</v>
      </c>
    </row>
    <row r="360" spans="1:11" hidden="1" x14ac:dyDescent="0.25">
      <c r="A360" s="39" t="s">
        <v>661</v>
      </c>
      <c r="B360" s="46" t="s">
        <v>245</v>
      </c>
      <c r="C360" s="39" t="s">
        <v>626</v>
      </c>
      <c r="D360" s="142">
        <v>155922498</v>
      </c>
      <c r="E360" s="39" t="s">
        <v>256</v>
      </c>
      <c r="F360" s="81">
        <v>33702</v>
      </c>
      <c r="G360" s="105" t="str">
        <f t="shared" si="10"/>
        <v>Apr</v>
      </c>
      <c r="H360" s="51">
        <f t="shared" ca="1" si="11"/>
        <v>24</v>
      </c>
      <c r="I360" s="52" t="s">
        <v>257</v>
      </c>
      <c r="J360" s="53">
        <v>37020</v>
      </c>
      <c r="K360" s="54">
        <v>2</v>
      </c>
    </row>
    <row r="361" spans="1:11" hidden="1" x14ac:dyDescent="0.25">
      <c r="A361" s="39" t="s">
        <v>662</v>
      </c>
      <c r="B361" s="46" t="s">
        <v>285</v>
      </c>
      <c r="C361" s="39" t="s">
        <v>626</v>
      </c>
      <c r="D361" s="142">
        <v>952364976</v>
      </c>
      <c r="E361" s="39" t="s">
        <v>256</v>
      </c>
      <c r="F361" s="81">
        <v>34067</v>
      </c>
      <c r="G361" s="105" t="str">
        <f t="shared" si="10"/>
        <v>Apr</v>
      </c>
      <c r="H361" s="51">
        <f t="shared" ca="1" si="11"/>
        <v>23</v>
      </c>
      <c r="I361" s="52" t="s">
        <v>267</v>
      </c>
      <c r="J361" s="53">
        <v>86540</v>
      </c>
      <c r="K361" s="54">
        <v>4</v>
      </c>
    </row>
    <row r="362" spans="1:11" hidden="1" x14ac:dyDescent="0.25">
      <c r="A362" s="39" t="s">
        <v>663</v>
      </c>
      <c r="B362" s="46" t="s">
        <v>285</v>
      </c>
      <c r="C362" s="39" t="s">
        <v>626</v>
      </c>
      <c r="D362" s="142">
        <v>991088309</v>
      </c>
      <c r="E362" s="39" t="s">
        <v>256</v>
      </c>
      <c r="F362" s="81">
        <v>35547</v>
      </c>
      <c r="G362" s="105" t="str">
        <f t="shared" si="10"/>
        <v>Apr</v>
      </c>
      <c r="H362" s="51">
        <f t="shared" ca="1" si="11"/>
        <v>19</v>
      </c>
      <c r="I362" s="52" t="s">
        <v>257</v>
      </c>
      <c r="J362" s="53">
        <v>81640</v>
      </c>
      <c r="K362" s="54">
        <v>4</v>
      </c>
    </row>
    <row r="363" spans="1:11" hidden="1" x14ac:dyDescent="0.25">
      <c r="A363" s="39" t="s">
        <v>655</v>
      </c>
      <c r="B363" s="46" t="s">
        <v>266</v>
      </c>
      <c r="C363" s="39" t="s">
        <v>626</v>
      </c>
      <c r="D363" s="142">
        <v>233241165</v>
      </c>
      <c r="E363" s="39" t="s">
        <v>256</v>
      </c>
      <c r="F363" s="81">
        <v>36297</v>
      </c>
      <c r="G363" s="105" t="str">
        <f t="shared" si="10"/>
        <v>May</v>
      </c>
      <c r="H363" s="51">
        <f t="shared" ca="1" si="11"/>
        <v>17</v>
      </c>
      <c r="I363" s="52" t="s">
        <v>257</v>
      </c>
      <c r="J363" s="53">
        <v>46030</v>
      </c>
      <c r="K363" s="54">
        <v>2</v>
      </c>
    </row>
    <row r="364" spans="1:11" hidden="1" x14ac:dyDescent="0.25">
      <c r="A364" s="39" t="s">
        <v>634</v>
      </c>
      <c r="B364" s="46" t="s">
        <v>245</v>
      </c>
      <c r="C364" s="39" t="s">
        <v>626</v>
      </c>
      <c r="D364" s="142">
        <v>937778217</v>
      </c>
      <c r="E364" s="39" t="s">
        <v>256</v>
      </c>
      <c r="F364" s="81">
        <v>36662</v>
      </c>
      <c r="G364" s="105" t="str">
        <f t="shared" si="10"/>
        <v>May</v>
      </c>
      <c r="H364" s="51">
        <f t="shared" ca="1" si="11"/>
        <v>16</v>
      </c>
      <c r="I364" s="52" t="s">
        <v>283</v>
      </c>
      <c r="J364" s="53">
        <v>52490</v>
      </c>
      <c r="K364" s="54">
        <v>4</v>
      </c>
    </row>
    <row r="365" spans="1:11" hidden="1" x14ac:dyDescent="0.25">
      <c r="A365" s="39" t="s">
        <v>674</v>
      </c>
      <c r="B365" s="46" t="s">
        <v>251</v>
      </c>
      <c r="C365" s="39" t="s">
        <v>626</v>
      </c>
      <c r="D365" s="142">
        <v>622315898</v>
      </c>
      <c r="E365" s="39" t="s">
        <v>247</v>
      </c>
      <c r="F365" s="81">
        <v>38496</v>
      </c>
      <c r="G365" s="105" t="str">
        <f t="shared" si="10"/>
        <v>May</v>
      </c>
      <c r="H365" s="51">
        <f t="shared" ca="1" si="11"/>
        <v>11</v>
      </c>
      <c r="I365" s="52"/>
      <c r="J365" s="53">
        <v>57520</v>
      </c>
      <c r="K365" s="54">
        <v>3</v>
      </c>
    </row>
    <row r="366" spans="1:11" hidden="1" x14ac:dyDescent="0.25">
      <c r="A366" s="39" t="s">
        <v>641</v>
      </c>
      <c r="B366" s="46" t="s">
        <v>251</v>
      </c>
      <c r="C366" s="39" t="s">
        <v>626</v>
      </c>
      <c r="D366" s="142">
        <v>548535224</v>
      </c>
      <c r="E366" s="39" t="s">
        <v>256</v>
      </c>
      <c r="F366" s="81">
        <v>33407</v>
      </c>
      <c r="G366" s="105" t="str">
        <f t="shared" si="10"/>
        <v>Jun</v>
      </c>
      <c r="H366" s="51">
        <f t="shared" ca="1" si="11"/>
        <v>25</v>
      </c>
      <c r="I366" s="52" t="s">
        <v>257</v>
      </c>
      <c r="J366" s="53">
        <v>22900</v>
      </c>
      <c r="K366" s="54">
        <v>1</v>
      </c>
    </row>
    <row r="367" spans="1:11" hidden="1" x14ac:dyDescent="0.25">
      <c r="A367" s="39" t="s">
        <v>631</v>
      </c>
      <c r="B367" s="46" t="s">
        <v>251</v>
      </c>
      <c r="C367" s="39" t="s">
        <v>626</v>
      </c>
      <c r="D367" s="142">
        <v>234113739</v>
      </c>
      <c r="E367" s="39" t="s">
        <v>256</v>
      </c>
      <c r="F367" s="81">
        <v>33765</v>
      </c>
      <c r="G367" s="105" t="str">
        <f t="shared" si="10"/>
        <v>Jun</v>
      </c>
      <c r="H367" s="51">
        <f t="shared" ca="1" si="11"/>
        <v>24</v>
      </c>
      <c r="I367" s="52" t="s">
        <v>262</v>
      </c>
      <c r="J367" s="53">
        <v>73930</v>
      </c>
      <c r="K367" s="54">
        <v>1</v>
      </c>
    </row>
    <row r="368" spans="1:11" hidden="1" x14ac:dyDescent="0.25">
      <c r="A368" s="39" t="s">
        <v>637</v>
      </c>
      <c r="B368" s="46" t="s">
        <v>285</v>
      </c>
      <c r="C368" s="39" t="s">
        <v>626</v>
      </c>
      <c r="D368" s="142">
        <v>762238863</v>
      </c>
      <c r="E368" s="39" t="s">
        <v>256</v>
      </c>
      <c r="F368" s="81">
        <v>34875</v>
      </c>
      <c r="G368" s="105" t="str">
        <f t="shared" si="10"/>
        <v>Jun</v>
      </c>
      <c r="H368" s="51">
        <f t="shared" ca="1" si="11"/>
        <v>21</v>
      </c>
      <c r="I368" s="52" t="s">
        <v>276</v>
      </c>
      <c r="J368" s="53">
        <v>66920</v>
      </c>
      <c r="K368" s="54">
        <v>2</v>
      </c>
    </row>
    <row r="369" spans="1:11" hidden="1" x14ac:dyDescent="0.25">
      <c r="A369" s="39" t="s">
        <v>670</v>
      </c>
      <c r="B369" s="46" t="s">
        <v>245</v>
      </c>
      <c r="C369" s="39" t="s">
        <v>626</v>
      </c>
      <c r="D369" s="142">
        <v>294537211</v>
      </c>
      <c r="E369" s="39" t="s">
        <v>256</v>
      </c>
      <c r="F369" s="81">
        <v>35220</v>
      </c>
      <c r="G369" s="105" t="str">
        <f t="shared" si="10"/>
        <v>Jun</v>
      </c>
      <c r="H369" s="51">
        <f t="shared" ca="1" si="11"/>
        <v>20</v>
      </c>
      <c r="I369" s="52" t="s">
        <v>267</v>
      </c>
      <c r="J369" s="53">
        <v>70480</v>
      </c>
      <c r="K369" s="54">
        <v>4</v>
      </c>
    </row>
    <row r="370" spans="1:11" hidden="1" x14ac:dyDescent="0.25">
      <c r="A370" s="39" t="s">
        <v>658</v>
      </c>
      <c r="B370" s="46" t="s">
        <v>285</v>
      </c>
      <c r="C370" s="39" t="s">
        <v>626</v>
      </c>
      <c r="D370" s="142">
        <v>585798273</v>
      </c>
      <c r="E370" s="39" t="s">
        <v>247</v>
      </c>
      <c r="F370" s="81">
        <v>36703</v>
      </c>
      <c r="G370" s="105" t="str">
        <f t="shared" si="10"/>
        <v>Jun</v>
      </c>
      <c r="H370" s="51">
        <f t="shared" ca="1" si="11"/>
        <v>16</v>
      </c>
      <c r="I370" s="52"/>
      <c r="J370" s="53">
        <v>50200</v>
      </c>
      <c r="K370" s="54">
        <v>4</v>
      </c>
    </row>
    <row r="371" spans="1:11" x14ac:dyDescent="0.25">
      <c r="A371" s="39" t="s">
        <v>636</v>
      </c>
      <c r="B371" s="46" t="s">
        <v>271</v>
      </c>
      <c r="C371" s="39" t="s">
        <v>626</v>
      </c>
      <c r="D371" s="142">
        <v>158724247</v>
      </c>
      <c r="E371" s="39" t="s">
        <v>261</v>
      </c>
      <c r="F371" s="81">
        <v>40351</v>
      </c>
      <c r="G371" s="105" t="str">
        <f t="shared" si="10"/>
        <v>Jun</v>
      </c>
      <c r="H371" s="51">
        <f t="shared" ca="1" si="11"/>
        <v>6</v>
      </c>
      <c r="I371" s="52" t="s">
        <v>283</v>
      </c>
      <c r="J371" s="53">
        <v>20040</v>
      </c>
      <c r="K371" s="54">
        <v>3</v>
      </c>
    </row>
    <row r="372" spans="1:11" hidden="1" x14ac:dyDescent="0.25">
      <c r="A372" s="39" t="s">
        <v>666</v>
      </c>
      <c r="B372" s="46" t="s">
        <v>285</v>
      </c>
      <c r="C372" s="39" t="s">
        <v>626</v>
      </c>
      <c r="D372" s="142">
        <v>599051506</v>
      </c>
      <c r="E372" s="39" t="s">
        <v>256</v>
      </c>
      <c r="F372" s="81">
        <v>34177</v>
      </c>
      <c r="G372" s="105" t="str">
        <f t="shared" si="10"/>
        <v>Jul</v>
      </c>
      <c r="H372" s="51">
        <f t="shared" ca="1" si="11"/>
        <v>23</v>
      </c>
      <c r="I372" s="52" t="s">
        <v>283</v>
      </c>
      <c r="J372" s="53">
        <v>65250</v>
      </c>
      <c r="K372" s="54">
        <v>2</v>
      </c>
    </row>
    <row r="373" spans="1:11" hidden="1" x14ac:dyDescent="0.25">
      <c r="A373" s="39" t="s">
        <v>646</v>
      </c>
      <c r="B373" s="46" t="s">
        <v>245</v>
      </c>
      <c r="C373" s="39" t="s">
        <v>626</v>
      </c>
      <c r="D373" s="142">
        <v>507652823</v>
      </c>
      <c r="E373" s="39" t="s">
        <v>256</v>
      </c>
      <c r="F373" s="81">
        <v>35254</v>
      </c>
      <c r="G373" s="105" t="str">
        <f t="shared" si="10"/>
        <v>Jul</v>
      </c>
      <c r="H373" s="51">
        <f t="shared" ca="1" si="11"/>
        <v>20</v>
      </c>
      <c r="I373" s="52" t="s">
        <v>257</v>
      </c>
      <c r="J373" s="53">
        <v>48800</v>
      </c>
      <c r="K373" s="54">
        <v>4</v>
      </c>
    </row>
    <row r="374" spans="1:11" hidden="1" x14ac:dyDescent="0.25">
      <c r="A374" s="39" t="s">
        <v>667</v>
      </c>
      <c r="B374" s="46" t="s">
        <v>280</v>
      </c>
      <c r="C374" s="39" t="s">
        <v>626</v>
      </c>
      <c r="D374" s="142">
        <v>941271824</v>
      </c>
      <c r="E374" s="39" t="s">
        <v>261</v>
      </c>
      <c r="F374" s="81">
        <v>36371</v>
      </c>
      <c r="G374" s="105" t="str">
        <f t="shared" si="10"/>
        <v>Jul</v>
      </c>
      <c r="H374" s="51">
        <f t="shared" ca="1" si="11"/>
        <v>17</v>
      </c>
      <c r="I374" s="52" t="s">
        <v>283</v>
      </c>
      <c r="J374" s="53">
        <v>26790</v>
      </c>
      <c r="K374" s="54">
        <v>2</v>
      </c>
    </row>
    <row r="375" spans="1:11" x14ac:dyDescent="0.25">
      <c r="A375" s="39" t="s">
        <v>656</v>
      </c>
      <c r="B375" s="46" t="s">
        <v>271</v>
      </c>
      <c r="C375" s="39" t="s">
        <v>626</v>
      </c>
      <c r="D375" s="142">
        <v>901475948</v>
      </c>
      <c r="E375" s="39" t="s">
        <v>247</v>
      </c>
      <c r="F375" s="81">
        <v>39283</v>
      </c>
      <c r="G375" s="105" t="str">
        <f t="shared" si="10"/>
        <v>Jul</v>
      </c>
      <c r="H375" s="51">
        <f t="shared" ca="1" si="11"/>
        <v>9</v>
      </c>
      <c r="I375" s="52"/>
      <c r="J375" s="53">
        <v>74470</v>
      </c>
      <c r="K375" s="54">
        <v>3</v>
      </c>
    </row>
    <row r="376" spans="1:11" x14ac:dyDescent="0.25">
      <c r="A376" s="39" t="s">
        <v>639</v>
      </c>
      <c r="B376" s="46" t="s">
        <v>271</v>
      </c>
      <c r="C376" s="39" t="s">
        <v>626</v>
      </c>
      <c r="D376" s="142">
        <v>483076823</v>
      </c>
      <c r="E376" s="39" t="s">
        <v>256</v>
      </c>
      <c r="F376" s="81">
        <v>40361</v>
      </c>
      <c r="G376" s="105" t="str">
        <f t="shared" si="10"/>
        <v>Jul</v>
      </c>
      <c r="H376" s="51">
        <f t="shared" ca="1" si="11"/>
        <v>6</v>
      </c>
      <c r="I376" s="52" t="s">
        <v>267</v>
      </c>
      <c r="J376" s="53">
        <v>75780</v>
      </c>
      <c r="K376" s="54">
        <v>2</v>
      </c>
    </row>
    <row r="377" spans="1:11" hidden="1" x14ac:dyDescent="0.25">
      <c r="A377" s="39" t="s">
        <v>628</v>
      </c>
      <c r="B377" s="46" t="s">
        <v>251</v>
      </c>
      <c r="C377" s="39" t="s">
        <v>626</v>
      </c>
      <c r="D377" s="142">
        <v>199085929</v>
      </c>
      <c r="E377" s="39" t="s">
        <v>256</v>
      </c>
      <c r="F377" s="81">
        <v>35282</v>
      </c>
      <c r="G377" s="105" t="str">
        <f t="shared" si="10"/>
        <v>Aug</v>
      </c>
      <c r="H377" s="51">
        <f t="shared" ca="1" si="11"/>
        <v>20</v>
      </c>
      <c r="I377" s="52" t="s">
        <v>257</v>
      </c>
      <c r="J377" s="53">
        <v>57560</v>
      </c>
      <c r="K377" s="54">
        <v>4</v>
      </c>
    </row>
    <row r="378" spans="1:11" hidden="1" x14ac:dyDescent="0.25">
      <c r="A378" s="39" t="s">
        <v>650</v>
      </c>
      <c r="B378" s="46" t="s">
        <v>251</v>
      </c>
      <c r="C378" s="39" t="s">
        <v>626</v>
      </c>
      <c r="D378" s="142">
        <v>996159905</v>
      </c>
      <c r="E378" s="39" t="s">
        <v>256</v>
      </c>
      <c r="F378" s="81">
        <v>36392</v>
      </c>
      <c r="G378" s="105" t="str">
        <f t="shared" si="10"/>
        <v>Aug</v>
      </c>
      <c r="H378" s="51">
        <f t="shared" ca="1" si="11"/>
        <v>17</v>
      </c>
      <c r="I378" s="52" t="s">
        <v>283</v>
      </c>
      <c r="J378" s="53">
        <v>51410</v>
      </c>
      <c r="K378" s="54">
        <v>4</v>
      </c>
    </row>
    <row r="379" spans="1:11" hidden="1" x14ac:dyDescent="0.25">
      <c r="A379" s="39" t="s">
        <v>632</v>
      </c>
      <c r="B379" s="46" t="s">
        <v>280</v>
      </c>
      <c r="C379" s="39" t="s">
        <v>626</v>
      </c>
      <c r="D379" s="142">
        <v>197502491</v>
      </c>
      <c r="E379" s="39" t="s">
        <v>247</v>
      </c>
      <c r="F379" s="81">
        <v>34947</v>
      </c>
      <c r="G379" s="105" t="str">
        <f t="shared" si="10"/>
        <v>Sep</v>
      </c>
      <c r="H379" s="51">
        <f t="shared" ca="1" si="11"/>
        <v>21</v>
      </c>
      <c r="I379" s="52"/>
      <c r="J379" s="53">
        <v>81930</v>
      </c>
      <c r="K379" s="54">
        <v>5</v>
      </c>
    </row>
    <row r="380" spans="1:11" hidden="1" x14ac:dyDescent="0.25">
      <c r="A380" s="39" t="s">
        <v>669</v>
      </c>
      <c r="B380" s="46" t="s">
        <v>285</v>
      </c>
      <c r="C380" s="39" t="s">
        <v>626</v>
      </c>
      <c r="D380" s="142">
        <v>895098676</v>
      </c>
      <c r="E380" s="39" t="s">
        <v>247</v>
      </c>
      <c r="F380" s="81">
        <v>35682</v>
      </c>
      <c r="G380" s="105" t="str">
        <f t="shared" si="10"/>
        <v>Sep</v>
      </c>
      <c r="H380" s="51">
        <f t="shared" ca="1" si="11"/>
        <v>19</v>
      </c>
      <c r="I380" s="52"/>
      <c r="J380" s="53">
        <v>63850</v>
      </c>
      <c r="K380" s="54">
        <v>2</v>
      </c>
    </row>
    <row r="381" spans="1:11" hidden="1" x14ac:dyDescent="0.25">
      <c r="A381" s="39" t="s">
        <v>649</v>
      </c>
      <c r="B381" s="46" t="s">
        <v>245</v>
      </c>
      <c r="C381" s="39" t="s">
        <v>626</v>
      </c>
      <c r="D381" s="142">
        <v>349561540</v>
      </c>
      <c r="E381" s="39" t="s">
        <v>261</v>
      </c>
      <c r="F381" s="81">
        <v>37138</v>
      </c>
      <c r="G381" s="105" t="str">
        <f t="shared" si="10"/>
        <v>Sep</v>
      </c>
      <c r="H381" s="51">
        <f t="shared" ca="1" si="11"/>
        <v>15</v>
      </c>
      <c r="I381" s="52" t="s">
        <v>262</v>
      </c>
      <c r="J381" s="53">
        <v>31110</v>
      </c>
      <c r="K381" s="54">
        <v>1</v>
      </c>
    </row>
    <row r="382" spans="1:11" hidden="1" x14ac:dyDescent="0.25">
      <c r="A382" s="39" t="s">
        <v>673</v>
      </c>
      <c r="B382" s="46" t="s">
        <v>280</v>
      </c>
      <c r="C382" s="39" t="s">
        <v>626</v>
      </c>
      <c r="D382" s="142">
        <v>676505063</v>
      </c>
      <c r="E382" s="39" t="s">
        <v>261</v>
      </c>
      <c r="F382" s="81">
        <v>37141</v>
      </c>
      <c r="G382" s="105" t="str">
        <f t="shared" si="10"/>
        <v>Sep</v>
      </c>
      <c r="H382" s="51">
        <f t="shared" ca="1" si="11"/>
        <v>15</v>
      </c>
      <c r="I382" s="52" t="s">
        <v>276</v>
      </c>
      <c r="J382" s="53">
        <v>15910</v>
      </c>
      <c r="K382" s="54">
        <v>3</v>
      </c>
    </row>
    <row r="383" spans="1:11" hidden="1" x14ac:dyDescent="0.25">
      <c r="A383" s="39" t="s">
        <v>648</v>
      </c>
      <c r="B383" s="46" t="s">
        <v>266</v>
      </c>
      <c r="C383" s="39" t="s">
        <v>626</v>
      </c>
      <c r="D383" s="142">
        <v>312007523</v>
      </c>
      <c r="E383" s="39" t="s">
        <v>256</v>
      </c>
      <c r="F383" s="81">
        <v>40083</v>
      </c>
      <c r="G383" s="105" t="str">
        <f t="shared" si="10"/>
        <v>Sep</v>
      </c>
      <c r="H383" s="51">
        <f t="shared" ca="1" si="11"/>
        <v>7</v>
      </c>
      <c r="I383" s="52" t="s">
        <v>283</v>
      </c>
      <c r="J383" s="53">
        <v>44150</v>
      </c>
      <c r="K383" s="54">
        <v>4</v>
      </c>
    </row>
    <row r="384" spans="1:11" x14ac:dyDescent="0.25">
      <c r="A384" s="39" t="s">
        <v>640</v>
      </c>
      <c r="B384" s="46" t="s">
        <v>271</v>
      </c>
      <c r="C384" s="39" t="s">
        <v>626</v>
      </c>
      <c r="D384" s="142">
        <v>782026732</v>
      </c>
      <c r="E384" s="39" t="s">
        <v>256</v>
      </c>
      <c r="F384" s="81">
        <v>40447</v>
      </c>
      <c r="G384" s="105" t="str">
        <f t="shared" si="10"/>
        <v>Sep</v>
      </c>
      <c r="H384" s="51">
        <f t="shared" ca="1" si="11"/>
        <v>6</v>
      </c>
      <c r="I384" s="52" t="s">
        <v>257</v>
      </c>
      <c r="J384" s="53">
        <v>33970</v>
      </c>
      <c r="K384" s="54">
        <v>4</v>
      </c>
    </row>
    <row r="385" spans="1:16" hidden="1" x14ac:dyDescent="0.25">
      <c r="A385" s="39" t="s">
        <v>675</v>
      </c>
      <c r="B385" s="46" t="s">
        <v>285</v>
      </c>
      <c r="C385" s="39" t="s">
        <v>626</v>
      </c>
      <c r="D385" s="142">
        <v>937722165</v>
      </c>
      <c r="E385" s="39" t="s">
        <v>261</v>
      </c>
      <c r="F385" s="81">
        <v>36094</v>
      </c>
      <c r="G385" s="105" t="str">
        <f t="shared" si="10"/>
        <v>Oct</v>
      </c>
      <c r="H385" s="51">
        <f t="shared" ca="1" si="11"/>
        <v>18</v>
      </c>
      <c r="I385" s="52" t="s">
        <v>257</v>
      </c>
      <c r="J385" s="53">
        <v>47885</v>
      </c>
      <c r="K385" s="54">
        <v>1</v>
      </c>
    </row>
    <row r="386" spans="1:16" x14ac:dyDescent="0.25">
      <c r="A386" s="39" t="s">
        <v>633</v>
      </c>
      <c r="B386" s="46" t="s">
        <v>271</v>
      </c>
      <c r="C386" s="39" t="s">
        <v>626</v>
      </c>
      <c r="D386" s="142">
        <v>586533673</v>
      </c>
      <c r="E386" s="39" t="s">
        <v>256</v>
      </c>
      <c r="F386" s="81">
        <v>36456</v>
      </c>
      <c r="G386" s="105" t="str">
        <f t="shared" ref="G386:G449" si="12">CHOOSE(MONTH(F386),"Jan","Feb","Mar","Apr","May","Jun","Jul","Aug","Sep","Oct","Nov","Dec")</f>
        <v>Oct</v>
      </c>
      <c r="H386" s="51">
        <f t="shared" ref="H386:H449" ca="1" si="13">DATEDIF(F386,TODAY(),"Y")</f>
        <v>17</v>
      </c>
      <c r="I386" s="52" t="s">
        <v>283</v>
      </c>
      <c r="J386" s="53">
        <v>43460</v>
      </c>
      <c r="K386" s="54">
        <v>5</v>
      </c>
    </row>
    <row r="387" spans="1:16" hidden="1" x14ac:dyDescent="0.25">
      <c r="A387" s="39" t="s">
        <v>630</v>
      </c>
      <c r="B387" s="46" t="s">
        <v>285</v>
      </c>
      <c r="C387" s="39" t="s">
        <v>626</v>
      </c>
      <c r="D387" s="142">
        <v>763766240</v>
      </c>
      <c r="E387" s="39" t="s">
        <v>256</v>
      </c>
      <c r="F387" s="81">
        <v>36463</v>
      </c>
      <c r="G387" s="105" t="str">
        <f t="shared" si="12"/>
        <v>Oct</v>
      </c>
      <c r="H387" s="51">
        <f t="shared" ca="1" si="13"/>
        <v>17</v>
      </c>
      <c r="I387" s="52" t="s">
        <v>257</v>
      </c>
      <c r="J387" s="53">
        <v>44220</v>
      </c>
      <c r="K387" s="54">
        <v>3</v>
      </c>
    </row>
    <row r="388" spans="1:16" x14ac:dyDescent="0.25">
      <c r="A388" s="39" t="s">
        <v>676</v>
      </c>
      <c r="B388" s="46" t="s">
        <v>271</v>
      </c>
      <c r="C388" s="39" t="s">
        <v>626</v>
      </c>
      <c r="D388" s="142">
        <v>738428268</v>
      </c>
      <c r="E388" s="39" t="s">
        <v>261</v>
      </c>
      <c r="F388" s="81">
        <v>37166</v>
      </c>
      <c r="G388" s="105" t="str">
        <f t="shared" si="12"/>
        <v>Oct</v>
      </c>
      <c r="H388" s="51">
        <f t="shared" ca="1" si="13"/>
        <v>15</v>
      </c>
      <c r="I388" s="52" t="s">
        <v>262</v>
      </c>
      <c r="J388" s="53">
        <v>47295</v>
      </c>
      <c r="K388" s="54">
        <v>4</v>
      </c>
    </row>
    <row r="389" spans="1:16" hidden="1" x14ac:dyDescent="0.25">
      <c r="A389" s="39" t="s">
        <v>625</v>
      </c>
      <c r="B389" s="46" t="s">
        <v>285</v>
      </c>
      <c r="C389" s="39" t="s">
        <v>626</v>
      </c>
      <c r="D389" s="142">
        <v>837295427</v>
      </c>
      <c r="E389" s="39" t="s">
        <v>256</v>
      </c>
      <c r="F389" s="81">
        <v>36116</v>
      </c>
      <c r="G389" s="105" t="str">
        <f t="shared" si="12"/>
        <v>Nov</v>
      </c>
      <c r="H389" s="51">
        <f t="shared" ca="1" si="13"/>
        <v>17</v>
      </c>
      <c r="I389" s="52" t="s">
        <v>276</v>
      </c>
      <c r="J389" s="53">
        <v>49770</v>
      </c>
      <c r="K389" s="54">
        <v>1</v>
      </c>
    </row>
    <row r="390" spans="1:16" hidden="1" x14ac:dyDescent="0.25">
      <c r="A390" s="39" t="s">
        <v>647</v>
      </c>
      <c r="B390" s="46" t="s">
        <v>245</v>
      </c>
      <c r="C390" s="39" t="s">
        <v>626</v>
      </c>
      <c r="D390" s="142">
        <v>184143893</v>
      </c>
      <c r="E390" s="39" t="s">
        <v>261</v>
      </c>
      <c r="F390" s="81">
        <v>36121</v>
      </c>
      <c r="G390" s="105" t="str">
        <f t="shared" si="12"/>
        <v>Nov</v>
      </c>
      <c r="H390" s="51">
        <f t="shared" ca="1" si="13"/>
        <v>17</v>
      </c>
      <c r="I390" s="52" t="s">
        <v>283</v>
      </c>
      <c r="J390" s="53">
        <v>28880</v>
      </c>
      <c r="K390" s="54">
        <v>3</v>
      </c>
    </row>
    <row r="391" spans="1:16" hidden="1" x14ac:dyDescent="0.25">
      <c r="A391" s="39" t="s">
        <v>659</v>
      </c>
      <c r="B391" s="46" t="s">
        <v>245</v>
      </c>
      <c r="C391" s="39" t="s">
        <v>626</v>
      </c>
      <c r="D391" s="142">
        <v>260692174</v>
      </c>
      <c r="E391" s="39" t="s">
        <v>256</v>
      </c>
      <c r="F391" s="81">
        <v>33223</v>
      </c>
      <c r="G391" s="105" t="str">
        <f t="shared" si="12"/>
        <v>Dec</v>
      </c>
      <c r="H391" s="51">
        <f t="shared" ca="1" si="13"/>
        <v>25</v>
      </c>
      <c r="I391" s="52" t="s">
        <v>262</v>
      </c>
      <c r="J391" s="53">
        <v>31260</v>
      </c>
      <c r="K391" s="54">
        <v>5</v>
      </c>
    </row>
    <row r="392" spans="1:16" x14ac:dyDescent="0.25">
      <c r="A392" s="39" t="s">
        <v>668</v>
      </c>
      <c r="B392" s="46" t="s">
        <v>271</v>
      </c>
      <c r="C392" s="39" t="s">
        <v>626</v>
      </c>
      <c r="D392" s="142">
        <v>734335400</v>
      </c>
      <c r="E392" s="39" t="s">
        <v>247</v>
      </c>
      <c r="F392" s="81">
        <v>35776</v>
      </c>
      <c r="G392" s="105" t="str">
        <f t="shared" si="12"/>
        <v>Dec</v>
      </c>
      <c r="H392" s="51">
        <f t="shared" ca="1" si="13"/>
        <v>18</v>
      </c>
      <c r="I392" s="52"/>
      <c r="J392" s="53">
        <v>77930</v>
      </c>
      <c r="K392" s="54">
        <v>5</v>
      </c>
    </row>
    <row r="393" spans="1:16" hidden="1" x14ac:dyDescent="0.25">
      <c r="A393" s="39" t="s">
        <v>690</v>
      </c>
      <c r="B393" s="46" t="s">
        <v>280</v>
      </c>
      <c r="C393" s="39" t="s">
        <v>678</v>
      </c>
      <c r="D393" s="142">
        <v>190774334</v>
      </c>
      <c r="E393" s="39" t="s">
        <v>256</v>
      </c>
      <c r="F393" s="81">
        <v>33617</v>
      </c>
      <c r="G393" s="105" t="str">
        <f t="shared" si="12"/>
        <v>Jan</v>
      </c>
      <c r="H393" s="51">
        <f t="shared" ca="1" si="13"/>
        <v>24</v>
      </c>
      <c r="I393" s="52" t="s">
        <v>257</v>
      </c>
      <c r="J393" s="53">
        <v>39110</v>
      </c>
      <c r="K393" s="54">
        <v>5</v>
      </c>
      <c r="O393" s="75"/>
      <c r="P393" s="75"/>
    </row>
    <row r="394" spans="1:16" hidden="1" x14ac:dyDescent="0.25">
      <c r="A394" s="39" t="s">
        <v>694</v>
      </c>
      <c r="B394" s="46" t="s">
        <v>285</v>
      </c>
      <c r="C394" s="39" t="s">
        <v>678</v>
      </c>
      <c r="D394" s="142">
        <v>147187549</v>
      </c>
      <c r="E394" s="39" t="s">
        <v>247</v>
      </c>
      <c r="F394" s="81">
        <v>35447</v>
      </c>
      <c r="G394" s="105" t="str">
        <f t="shared" si="12"/>
        <v>Jan</v>
      </c>
      <c r="H394" s="51">
        <f t="shared" ca="1" si="13"/>
        <v>19</v>
      </c>
      <c r="I394" s="52"/>
      <c r="J394" s="53">
        <v>54190</v>
      </c>
      <c r="K394" s="54">
        <v>4</v>
      </c>
    </row>
    <row r="395" spans="1:16" x14ac:dyDescent="0.25">
      <c r="A395" s="39" t="s">
        <v>687</v>
      </c>
      <c r="B395" s="46" t="s">
        <v>271</v>
      </c>
      <c r="C395" s="39" t="s">
        <v>678</v>
      </c>
      <c r="D395" s="142">
        <v>379565911</v>
      </c>
      <c r="E395" s="39" t="s">
        <v>256</v>
      </c>
      <c r="F395" s="81">
        <v>36175</v>
      </c>
      <c r="G395" s="105" t="str">
        <f t="shared" si="12"/>
        <v>Jan</v>
      </c>
      <c r="H395" s="51">
        <f t="shared" ca="1" si="13"/>
        <v>17</v>
      </c>
      <c r="I395" s="52" t="s">
        <v>283</v>
      </c>
      <c r="J395" s="53">
        <v>23520</v>
      </c>
      <c r="K395" s="54">
        <v>2</v>
      </c>
    </row>
    <row r="396" spans="1:16" x14ac:dyDescent="0.25">
      <c r="A396" s="39" t="s">
        <v>698</v>
      </c>
      <c r="B396" s="46" t="s">
        <v>271</v>
      </c>
      <c r="C396" s="39" t="s">
        <v>678</v>
      </c>
      <c r="D396" s="142">
        <v>516952157</v>
      </c>
      <c r="E396" s="39" t="s">
        <v>256</v>
      </c>
      <c r="F396" s="81">
        <v>36898</v>
      </c>
      <c r="G396" s="105" t="str">
        <f t="shared" si="12"/>
        <v>Jan</v>
      </c>
      <c r="H396" s="51">
        <f t="shared" ca="1" si="13"/>
        <v>15</v>
      </c>
      <c r="I396" s="52" t="s">
        <v>257</v>
      </c>
      <c r="J396" s="53">
        <v>71820</v>
      </c>
      <c r="K396" s="54">
        <v>2</v>
      </c>
    </row>
    <row r="397" spans="1:16" hidden="1" x14ac:dyDescent="0.25">
      <c r="A397" s="39" t="s">
        <v>677</v>
      </c>
      <c r="B397" s="46" t="s">
        <v>285</v>
      </c>
      <c r="C397" s="39" t="s">
        <v>678</v>
      </c>
      <c r="D397" s="142">
        <v>881953845</v>
      </c>
      <c r="E397" s="39" t="s">
        <v>256</v>
      </c>
      <c r="F397" s="81">
        <v>35121</v>
      </c>
      <c r="G397" s="105" t="str">
        <f t="shared" si="12"/>
        <v>Feb</v>
      </c>
      <c r="H397" s="51">
        <f t="shared" ca="1" si="13"/>
        <v>20</v>
      </c>
      <c r="I397" s="52" t="s">
        <v>283</v>
      </c>
      <c r="J397" s="53">
        <v>22860</v>
      </c>
      <c r="K397" s="54">
        <v>5</v>
      </c>
    </row>
    <row r="398" spans="1:16" hidden="1" x14ac:dyDescent="0.25">
      <c r="A398" s="39" t="s">
        <v>686</v>
      </c>
      <c r="B398" s="46" t="s">
        <v>280</v>
      </c>
      <c r="C398" s="39" t="s">
        <v>678</v>
      </c>
      <c r="D398" s="142">
        <v>351873196</v>
      </c>
      <c r="E398" s="39" t="s">
        <v>256</v>
      </c>
      <c r="F398" s="81">
        <v>36567</v>
      </c>
      <c r="G398" s="105" t="str">
        <f t="shared" si="12"/>
        <v>Feb</v>
      </c>
      <c r="H398" s="51">
        <f t="shared" ca="1" si="13"/>
        <v>16</v>
      </c>
      <c r="I398" s="52" t="s">
        <v>276</v>
      </c>
      <c r="J398" s="53">
        <v>45450</v>
      </c>
      <c r="K398" s="54">
        <v>5</v>
      </c>
    </row>
    <row r="399" spans="1:16" hidden="1" x14ac:dyDescent="0.25">
      <c r="A399" s="39" t="s">
        <v>680</v>
      </c>
      <c r="B399" s="46" t="s">
        <v>280</v>
      </c>
      <c r="C399" s="39" t="s">
        <v>678</v>
      </c>
      <c r="D399" s="142">
        <v>450868567</v>
      </c>
      <c r="E399" s="39" t="s">
        <v>261</v>
      </c>
      <c r="F399" s="81">
        <v>35150</v>
      </c>
      <c r="G399" s="105" t="str">
        <f t="shared" si="12"/>
        <v>Mar</v>
      </c>
      <c r="H399" s="51">
        <f t="shared" ca="1" si="13"/>
        <v>20</v>
      </c>
      <c r="I399" s="52" t="s">
        <v>257</v>
      </c>
      <c r="J399" s="53">
        <v>49405</v>
      </c>
      <c r="K399" s="54">
        <v>4</v>
      </c>
      <c r="O399" s="75"/>
      <c r="P399" s="75"/>
    </row>
    <row r="400" spans="1:16" hidden="1" x14ac:dyDescent="0.25">
      <c r="A400" s="39" t="s">
        <v>692</v>
      </c>
      <c r="B400" s="46" t="s">
        <v>285</v>
      </c>
      <c r="C400" s="39" t="s">
        <v>678</v>
      </c>
      <c r="D400" s="142">
        <v>704405967</v>
      </c>
      <c r="E400" s="39" t="s">
        <v>256</v>
      </c>
      <c r="F400" s="81">
        <v>33741</v>
      </c>
      <c r="G400" s="105" t="str">
        <f t="shared" si="12"/>
        <v>May</v>
      </c>
      <c r="H400" s="51">
        <f t="shared" ca="1" si="13"/>
        <v>24</v>
      </c>
      <c r="I400" s="52" t="s">
        <v>257</v>
      </c>
      <c r="J400" s="53">
        <v>48550</v>
      </c>
      <c r="K400" s="54">
        <v>5</v>
      </c>
    </row>
    <row r="401" spans="1:11" x14ac:dyDescent="0.25">
      <c r="A401" s="39" t="s">
        <v>695</v>
      </c>
      <c r="B401" s="46" t="s">
        <v>271</v>
      </c>
      <c r="C401" s="39" t="s">
        <v>678</v>
      </c>
      <c r="D401" s="142">
        <v>602454157</v>
      </c>
      <c r="E401" s="39" t="s">
        <v>261</v>
      </c>
      <c r="F401" s="81">
        <v>35961</v>
      </c>
      <c r="G401" s="105" t="str">
        <f t="shared" si="12"/>
        <v>Jun</v>
      </c>
      <c r="H401" s="51">
        <f t="shared" ca="1" si="13"/>
        <v>18</v>
      </c>
      <c r="I401" s="52" t="s">
        <v>257</v>
      </c>
      <c r="J401" s="53">
        <v>20500</v>
      </c>
      <c r="K401" s="54">
        <v>3</v>
      </c>
    </row>
    <row r="402" spans="1:11" hidden="1" x14ac:dyDescent="0.25">
      <c r="A402" s="39" t="s">
        <v>688</v>
      </c>
      <c r="B402" s="46" t="s">
        <v>251</v>
      </c>
      <c r="C402" s="39" t="s">
        <v>678</v>
      </c>
      <c r="D402" s="142">
        <v>414238218</v>
      </c>
      <c r="E402" s="39" t="s">
        <v>247</v>
      </c>
      <c r="F402" s="81">
        <v>40333</v>
      </c>
      <c r="G402" s="105" t="str">
        <f t="shared" si="12"/>
        <v>Jun</v>
      </c>
      <c r="H402" s="51">
        <f t="shared" ca="1" si="13"/>
        <v>6</v>
      </c>
      <c r="I402" s="52"/>
      <c r="J402" s="53">
        <v>74020</v>
      </c>
      <c r="K402" s="54">
        <v>2</v>
      </c>
    </row>
    <row r="403" spans="1:11" hidden="1" x14ac:dyDescent="0.25">
      <c r="A403" s="39" t="s">
        <v>689</v>
      </c>
      <c r="B403" s="46" t="s">
        <v>285</v>
      </c>
      <c r="C403" s="39" t="s">
        <v>678</v>
      </c>
      <c r="D403" s="142">
        <v>185843653</v>
      </c>
      <c r="E403" s="39" t="s">
        <v>247</v>
      </c>
      <c r="F403" s="81">
        <v>37803</v>
      </c>
      <c r="G403" s="105" t="str">
        <f t="shared" si="12"/>
        <v>Jul</v>
      </c>
      <c r="H403" s="51">
        <f t="shared" ca="1" si="13"/>
        <v>13</v>
      </c>
      <c r="I403" s="52"/>
      <c r="J403" s="53">
        <v>78100</v>
      </c>
      <c r="K403" s="54">
        <v>3</v>
      </c>
    </row>
    <row r="404" spans="1:11" hidden="1" x14ac:dyDescent="0.25">
      <c r="A404" s="39" t="s">
        <v>683</v>
      </c>
      <c r="B404" s="46" t="s">
        <v>266</v>
      </c>
      <c r="C404" s="39" t="s">
        <v>678</v>
      </c>
      <c r="D404" s="142">
        <v>890487042</v>
      </c>
      <c r="E404" s="39" t="s">
        <v>252</v>
      </c>
      <c r="F404" s="81">
        <v>37827</v>
      </c>
      <c r="G404" s="105" t="str">
        <f t="shared" si="12"/>
        <v>Jul</v>
      </c>
      <c r="H404" s="51">
        <f t="shared" ca="1" si="13"/>
        <v>13</v>
      </c>
      <c r="I404" s="52"/>
      <c r="J404" s="53">
        <v>11044</v>
      </c>
      <c r="K404" s="54">
        <v>2</v>
      </c>
    </row>
    <row r="405" spans="1:11" x14ac:dyDescent="0.25">
      <c r="A405" s="39" t="s">
        <v>697</v>
      </c>
      <c r="B405" s="46" t="s">
        <v>271</v>
      </c>
      <c r="C405" s="39" t="s">
        <v>678</v>
      </c>
      <c r="D405" s="142">
        <v>363638517</v>
      </c>
      <c r="E405" s="39" t="s">
        <v>247</v>
      </c>
      <c r="F405" s="81">
        <v>40372</v>
      </c>
      <c r="G405" s="105" t="str">
        <f t="shared" si="12"/>
        <v>Jul</v>
      </c>
      <c r="H405" s="51">
        <f t="shared" ca="1" si="13"/>
        <v>6</v>
      </c>
      <c r="I405" s="52"/>
      <c r="J405" s="53">
        <v>75100</v>
      </c>
      <c r="K405" s="54">
        <v>4</v>
      </c>
    </row>
    <row r="406" spans="1:11" hidden="1" x14ac:dyDescent="0.25">
      <c r="A406" s="39" t="s">
        <v>691</v>
      </c>
      <c r="B406" s="46" t="s">
        <v>245</v>
      </c>
      <c r="C406" s="39" t="s">
        <v>678</v>
      </c>
      <c r="D406" s="142">
        <v>766919462</v>
      </c>
      <c r="E406" s="39" t="s">
        <v>247</v>
      </c>
      <c r="F406" s="81">
        <v>36047</v>
      </c>
      <c r="G406" s="105" t="str">
        <f t="shared" si="12"/>
        <v>Sep</v>
      </c>
      <c r="H406" s="51">
        <f t="shared" ca="1" si="13"/>
        <v>18</v>
      </c>
      <c r="I406" s="52"/>
      <c r="J406" s="53">
        <v>72480</v>
      </c>
      <c r="K406" s="54">
        <v>2</v>
      </c>
    </row>
    <row r="407" spans="1:11" hidden="1" x14ac:dyDescent="0.25">
      <c r="A407" s="39" t="s">
        <v>679</v>
      </c>
      <c r="B407" s="46" t="s">
        <v>285</v>
      </c>
      <c r="C407" s="39" t="s">
        <v>678</v>
      </c>
      <c r="D407" s="142">
        <v>894465994</v>
      </c>
      <c r="E407" s="39" t="s">
        <v>256</v>
      </c>
      <c r="F407" s="81">
        <v>33904</v>
      </c>
      <c r="G407" s="105" t="str">
        <f t="shared" si="12"/>
        <v>Oct</v>
      </c>
      <c r="H407" s="51">
        <f t="shared" ca="1" si="13"/>
        <v>24</v>
      </c>
      <c r="I407" s="52" t="s">
        <v>262</v>
      </c>
      <c r="J407" s="53">
        <v>87980</v>
      </c>
      <c r="K407" s="54">
        <v>1</v>
      </c>
    </row>
    <row r="408" spans="1:11" hidden="1" x14ac:dyDescent="0.25">
      <c r="A408" s="39" t="s">
        <v>682</v>
      </c>
      <c r="B408" s="46" t="s">
        <v>251</v>
      </c>
      <c r="C408" s="39" t="s">
        <v>678</v>
      </c>
      <c r="D408" s="142">
        <v>849767709</v>
      </c>
      <c r="E408" s="39" t="s">
        <v>247</v>
      </c>
      <c r="F408" s="81">
        <v>35724</v>
      </c>
      <c r="G408" s="105" t="str">
        <f t="shared" si="12"/>
        <v>Oct</v>
      </c>
      <c r="H408" s="51">
        <f t="shared" ca="1" si="13"/>
        <v>19</v>
      </c>
      <c r="I408" s="52"/>
      <c r="J408" s="53">
        <v>86470</v>
      </c>
      <c r="K408" s="54">
        <v>4</v>
      </c>
    </row>
    <row r="409" spans="1:11" x14ac:dyDescent="0.25">
      <c r="A409" s="39" t="s">
        <v>696</v>
      </c>
      <c r="B409" s="46" t="s">
        <v>271</v>
      </c>
      <c r="C409" s="39" t="s">
        <v>678</v>
      </c>
      <c r="D409" s="142">
        <v>613593375</v>
      </c>
      <c r="E409" s="39" t="s">
        <v>252</v>
      </c>
      <c r="F409" s="81">
        <v>36084</v>
      </c>
      <c r="G409" s="105" t="str">
        <f t="shared" si="12"/>
        <v>Oct</v>
      </c>
      <c r="H409" s="51">
        <f t="shared" ca="1" si="13"/>
        <v>18</v>
      </c>
      <c r="I409" s="52"/>
      <c r="J409" s="53">
        <v>21668</v>
      </c>
      <c r="K409" s="54">
        <v>4</v>
      </c>
    </row>
    <row r="410" spans="1:11" x14ac:dyDescent="0.25">
      <c r="A410" s="39" t="s">
        <v>684</v>
      </c>
      <c r="B410" s="46" t="s">
        <v>271</v>
      </c>
      <c r="C410" s="39" t="s">
        <v>678</v>
      </c>
      <c r="D410" s="142">
        <v>394150914</v>
      </c>
      <c r="E410" s="39" t="s">
        <v>252</v>
      </c>
      <c r="F410" s="81">
        <v>35381</v>
      </c>
      <c r="G410" s="105" t="str">
        <f t="shared" si="12"/>
        <v>Nov</v>
      </c>
      <c r="H410" s="51">
        <f t="shared" ca="1" si="13"/>
        <v>20</v>
      </c>
      <c r="I410" s="52"/>
      <c r="J410" s="53">
        <v>35312</v>
      </c>
      <c r="K410" s="54">
        <v>3</v>
      </c>
    </row>
    <row r="411" spans="1:11" hidden="1" x14ac:dyDescent="0.25">
      <c r="A411" s="39" t="s">
        <v>685</v>
      </c>
      <c r="B411" s="46" t="s">
        <v>266</v>
      </c>
      <c r="C411" s="39" t="s">
        <v>678</v>
      </c>
      <c r="D411" s="142">
        <v>262263344</v>
      </c>
      <c r="E411" s="39" t="s">
        <v>256</v>
      </c>
      <c r="F411" s="81">
        <v>36466</v>
      </c>
      <c r="G411" s="105" t="str">
        <f t="shared" si="12"/>
        <v>Nov</v>
      </c>
      <c r="H411" s="51">
        <f t="shared" ca="1" si="13"/>
        <v>17</v>
      </c>
      <c r="I411" s="52" t="s">
        <v>283</v>
      </c>
      <c r="J411" s="53">
        <v>68410</v>
      </c>
      <c r="K411" s="54">
        <v>5</v>
      </c>
    </row>
    <row r="412" spans="1:11" hidden="1" x14ac:dyDescent="0.25">
      <c r="A412" s="39" t="s">
        <v>693</v>
      </c>
      <c r="B412" s="46" t="s">
        <v>245</v>
      </c>
      <c r="C412" s="39" t="s">
        <v>678</v>
      </c>
      <c r="D412" s="142">
        <v>272827169</v>
      </c>
      <c r="E412" s="39" t="s">
        <v>247</v>
      </c>
      <c r="F412" s="81">
        <v>37236</v>
      </c>
      <c r="G412" s="105" t="str">
        <f t="shared" si="12"/>
        <v>Dec</v>
      </c>
      <c r="H412" s="51">
        <f t="shared" ca="1" si="13"/>
        <v>14</v>
      </c>
      <c r="I412" s="52"/>
      <c r="J412" s="53">
        <v>29540</v>
      </c>
      <c r="K412" s="54">
        <v>3</v>
      </c>
    </row>
    <row r="413" spans="1:11" hidden="1" x14ac:dyDescent="0.25">
      <c r="A413" s="39" t="s">
        <v>681</v>
      </c>
      <c r="B413" s="46" t="s">
        <v>280</v>
      </c>
      <c r="C413" s="39" t="s">
        <v>678</v>
      </c>
      <c r="D413" s="142">
        <v>926116407</v>
      </c>
      <c r="E413" s="39" t="s">
        <v>256</v>
      </c>
      <c r="F413" s="81">
        <v>40533</v>
      </c>
      <c r="G413" s="105" t="str">
        <f t="shared" si="12"/>
        <v>Dec</v>
      </c>
      <c r="H413" s="51">
        <f t="shared" ca="1" si="13"/>
        <v>5</v>
      </c>
      <c r="I413" s="52" t="s">
        <v>276</v>
      </c>
      <c r="J413" s="53">
        <v>62180</v>
      </c>
      <c r="K413" s="54">
        <v>2</v>
      </c>
    </row>
    <row r="414" spans="1:11" hidden="1" x14ac:dyDescent="0.25">
      <c r="A414" s="39" t="s">
        <v>699</v>
      </c>
      <c r="B414" s="46" t="s">
        <v>245</v>
      </c>
      <c r="C414" s="39" t="s">
        <v>700</v>
      </c>
      <c r="D414" s="142">
        <v>414520983</v>
      </c>
      <c r="E414" s="39" t="s">
        <v>247</v>
      </c>
      <c r="F414" s="81">
        <v>35451</v>
      </c>
      <c r="G414" s="105" t="str">
        <f t="shared" si="12"/>
        <v>Jan</v>
      </c>
      <c r="H414" s="51">
        <f t="shared" ca="1" si="13"/>
        <v>19</v>
      </c>
      <c r="I414" s="52"/>
      <c r="J414" s="53">
        <v>25120</v>
      </c>
      <c r="K414" s="54">
        <v>2</v>
      </c>
    </row>
    <row r="415" spans="1:11" hidden="1" x14ac:dyDescent="0.25">
      <c r="A415" s="39" t="s">
        <v>702</v>
      </c>
      <c r="B415" s="46" t="s">
        <v>245</v>
      </c>
      <c r="C415" s="39" t="s">
        <v>700</v>
      </c>
      <c r="D415" s="142">
        <v>446962077</v>
      </c>
      <c r="E415" s="39" t="s">
        <v>247</v>
      </c>
      <c r="F415" s="81">
        <v>34408</v>
      </c>
      <c r="G415" s="105" t="str">
        <f t="shared" si="12"/>
        <v>Mar</v>
      </c>
      <c r="H415" s="51">
        <f t="shared" ca="1" si="13"/>
        <v>22</v>
      </c>
      <c r="I415" s="52"/>
      <c r="J415" s="53">
        <v>71700</v>
      </c>
      <c r="K415" s="54">
        <v>2</v>
      </c>
    </row>
    <row r="416" spans="1:11" hidden="1" x14ac:dyDescent="0.25">
      <c r="A416" s="39" t="s">
        <v>701</v>
      </c>
      <c r="B416" s="46" t="s">
        <v>285</v>
      </c>
      <c r="C416" s="39" t="s">
        <v>700</v>
      </c>
      <c r="D416" s="142">
        <v>376554022</v>
      </c>
      <c r="E416" s="39" t="s">
        <v>256</v>
      </c>
      <c r="F416" s="81">
        <v>34814</v>
      </c>
      <c r="G416" s="105" t="str">
        <f t="shared" si="12"/>
        <v>Apr</v>
      </c>
      <c r="H416" s="51">
        <f t="shared" ca="1" si="13"/>
        <v>21</v>
      </c>
      <c r="I416" s="52" t="s">
        <v>257</v>
      </c>
      <c r="J416" s="53">
        <v>63190</v>
      </c>
      <c r="K416" s="54">
        <v>1</v>
      </c>
    </row>
    <row r="417" spans="1:11" x14ac:dyDescent="0.25">
      <c r="A417" s="39" t="s">
        <v>703</v>
      </c>
      <c r="B417" s="46" t="s">
        <v>271</v>
      </c>
      <c r="C417" s="39" t="s">
        <v>700</v>
      </c>
      <c r="D417" s="142">
        <v>606239710</v>
      </c>
      <c r="E417" s="39" t="s">
        <v>247</v>
      </c>
      <c r="F417" s="81">
        <v>35567</v>
      </c>
      <c r="G417" s="105" t="str">
        <f t="shared" si="12"/>
        <v>May</v>
      </c>
      <c r="H417" s="51">
        <f t="shared" ca="1" si="13"/>
        <v>19</v>
      </c>
      <c r="I417" s="52"/>
      <c r="J417" s="53">
        <v>44820</v>
      </c>
      <c r="K417" s="54">
        <v>4</v>
      </c>
    </row>
    <row r="418" spans="1:11" hidden="1" x14ac:dyDescent="0.25">
      <c r="A418" s="39" t="s">
        <v>715</v>
      </c>
      <c r="B418" s="46" t="s">
        <v>245</v>
      </c>
      <c r="C418" s="39" t="s">
        <v>705</v>
      </c>
      <c r="D418" s="142">
        <v>419202405</v>
      </c>
      <c r="E418" s="39" t="s">
        <v>256</v>
      </c>
      <c r="F418" s="81">
        <v>33620</v>
      </c>
      <c r="G418" s="105" t="str">
        <f t="shared" si="12"/>
        <v>Jan</v>
      </c>
      <c r="H418" s="51">
        <f t="shared" ca="1" si="13"/>
        <v>24</v>
      </c>
      <c r="I418" s="52" t="s">
        <v>283</v>
      </c>
      <c r="J418" s="53">
        <v>43190</v>
      </c>
      <c r="K418" s="54">
        <v>2</v>
      </c>
    </row>
    <row r="419" spans="1:11" hidden="1" x14ac:dyDescent="0.25">
      <c r="A419" s="39" t="s">
        <v>707</v>
      </c>
      <c r="B419" s="46" t="s">
        <v>280</v>
      </c>
      <c r="C419" s="39" t="s">
        <v>705</v>
      </c>
      <c r="D419" s="142">
        <v>718714594</v>
      </c>
      <c r="E419" s="39" t="s">
        <v>256</v>
      </c>
      <c r="F419" s="81">
        <v>34702</v>
      </c>
      <c r="G419" s="105" t="str">
        <f t="shared" si="12"/>
        <v>Jan</v>
      </c>
      <c r="H419" s="51">
        <f t="shared" ca="1" si="13"/>
        <v>21</v>
      </c>
      <c r="I419" s="52" t="s">
        <v>257</v>
      </c>
      <c r="J419" s="53">
        <v>87030</v>
      </c>
      <c r="K419" s="54">
        <v>3</v>
      </c>
    </row>
    <row r="420" spans="1:11" hidden="1" x14ac:dyDescent="0.25">
      <c r="A420" s="39" t="s">
        <v>737</v>
      </c>
      <c r="B420" s="46" t="s">
        <v>245</v>
      </c>
      <c r="C420" s="39" t="s">
        <v>705</v>
      </c>
      <c r="D420" s="142">
        <v>793002378</v>
      </c>
      <c r="E420" s="39" t="s">
        <v>256</v>
      </c>
      <c r="F420" s="81">
        <v>33636</v>
      </c>
      <c r="G420" s="105" t="str">
        <f t="shared" si="12"/>
        <v>Feb</v>
      </c>
      <c r="H420" s="51">
        <f t="shared" ca="1" si="13"/>
        <v>24</v>
      </c>
      <c r="I420" s="52" t="s">
        <v>257</v>
      </c>
      <c r="J420" s="53">
        <v>26360</v>
      </c>
      <c r="K420" s="54">
        <v>1</v>
      </c>
    </row>
    <row r="421" spans="1:11" hidden="1" x14ac:dyDescent="0.25">
      <c r="A421" s="39" t="s">
        <v>743</v>
      </c>
      <c r="B421" s="46" t="s">
        <v>285</v>
      </c>
      <c r="C421" s="39" t="s">
        <v>705</v>
      </c>
      <c r="D421" s="142">
        <v>803030240</v>
      </c>
      <c r="E421" s="39" t="s">
        <v>256</v>
      </c>
      <c r="F421" s="81">
        <v>33642</v>
      </c>
      <c r="G421" s="105" t="str">
        <f t="shared" si="12"/>
        <v>Feb</v>
      </c>
      <c r="H421" s="51">
        <f t="shared" ca="1" si="13"/>
        <v>24</v>
      </c>
      <c r="I421" s="52" t="s">
        <v>257</v>
      </c>
      <c r="J421" s="53">
        <v>79770</v>
      </c>
      <c r="K421" s="54">
        <v>4</v>
      </c>
    </row>
    <row r="422" spans="1:11" hidden="1" x14ac:dyDescent="0.25">
      <c r="A422" s="39" t="s">
        <v>722</v>
      </c>
      <c r="B422" s="46" t="s">
        <v>285</v>
      </c>
      <c r="C422" s="39" t="s">
        <v>705</v>
      </c>
      <c r="D422" s="142">
        <v>566905037</v>
      </c>
      <c r="E422" s="39" t="s">
        <v>256</v>
      </c>
      <c r="F422" s="81">
        <v>34737</v>
      </c>
      <c r="G422" s="105" t="str">
        <f t="shared" si="12"/>
        <v>Feb</v>
      </c>
      <c r="H422" s="51">
        <f t="shared" ca="1" si="13"/>
        <v>21</v>
      </c>
      <c r="I422" s="52" t="s">
        <v>257</v>
      </c>
      <c r="J422" s="53">
        <v>88850</v>
      </c>
      <c r="K422" s="54">
        <v>3</v>
      </c>
    </row>
    <row r="423" spans="1:11" hidden="1" x14ac:dyDescent="0.25">
      <c r="A423" s="39" t="s">
        <v>728</v>
      </c>
      <c r="B423" s="46" t="s">
        <v>266</v>
      </c>
      <c r="C423" s="39" t="s">
        <v>705</v>
      </c>
      <c r="D423" s="142">
        <v>275249162</v>
      </c>
      <c r="E423" s="39" t="s">
        <v>256</v>
      </c>
      <c r="F423" s="81">
        <v>34740</v>
      </c>
      <c r="G423" s="105" t="str">
        <f t="shared" si="12"/>
        <v>Feb</v>
      </c>
      <c r="H423" s="51">
        <f t="shared" ca="1" si="13"/>
        <v>21</v>
      </c>
      <c r="I423" s="52" t="s">
        <v>267</v>
      </c>
      <c r="J423" s="53">
        <v>77840</v>
      </c>
      <c r="K423" s="54">
        <v>2</v>
      </c>
    </row>
    <row r="424" spans="1:11" hidden="1" x14ac:dyDescent="0.25">
      <c r="A424" s="39" t="s">
        <v>740</v>
      </c>
      <c r="B424" s="46" t="s">
        <v>280</v>
      </c>
      <c r="C424" s="39" t="s">
        <v>705</v>
      </c>
      <c r="D424" s="142">
        <v>638162970</v>
      </c>
      <c r="E424" s="39" t="s">
        <v>256</v>
      </c>
      <c r="F424" s="81">
        <v>35133</v>
      </c>
      <c r="G424" s="105" t="str">
        <f t="shared" si="12"/>
        <v>Mar</v>
      </c>
      <c r="H424" s="51">
        <f t="shared" ca="1" si="13"/>
        <v>20</v>
      </c>
      <c r="I424" s="52" t="s">
        <v>283</v>
      </c>
      <c r="J424" s="53">
        <v>63080</v>
      </c>
      <c r="K424" s="54">
        <v>5</v>
      </c>
    </row>
    <row r="425" spans="1:11" x14ac:dyDescent="0.25">
      <c r="A425" s="39" t="s">
        <v>708</v>
      </c>
      <c r="B425" s="46" t="s">
        <v>271</v>
      </c>
      <c r="C425" s="39" t="s">
        <v>705</v>
      </c>
      <c r="D425" s="142">
        <v>424177851</v>
      </c>
      <c r="E425" s="39" t="s">
        <v>252</v>
      </c>
      <c r="F425" s="81">
        <v>37711</v>
      </c>
      <c r="G425" s="105" t="str">
        <f t="shared" si="12"/>
        <v>Mar</v>
      </c>
      <c r="H425" s="51">
        <f t="shared" ca="1" si="13"/>
        <v>13</v>
      </c>
      <c r="I425" s="52"/>
      <c r="J425" s="53">
        <v>21648</v>
      </c>
      <c r="K425" s="54">
        <v>2</v>
      </c>
    </row>
    <row r="426" spans="1:11" hidden="1" x14ac:dyDescent="0.25">
      <c r="A426" s="39" t="s">
        <v>717</v>
      </c>
      <c r="B426" s="46" t="s">
        <v>285</v>
      </c>
      <c r="C426" s="39" t="s">
        <v>705</v>
      </c>
      <c r="D426" s="142">
        <v>760320981</v>
      </c>
      <c r="E426" s="39" t="s">
        <v>256</v>
      </c>
      <c r="F426" s="81">
        <v>38807</v>
      </c>
      <c r="G426" s="105" t="str">
        <f t="shared" si="12"/>
        <v>Mar</v>
      </c>
      <c r="H426" s="51">
        <f t="shared" ca="1" si="13"/>
        <v>10</v>
      </c>
      <c r="I426" s="52" t="s">
        <v>257</v>
      </c>
      <c r="J426" s="53">
        <v>47060</v>
      </c>
      <c r="K426" s="54">
        <v>4</v>
      </c>
    </row>
    <row r="427" spans="1:11" hidden="1" x14ac:dyDescent="0.25">
      <c r="A427" s="39" t="s">
        <v>719</v>
      </c>
      <c r="B427" s="46" t="s">
        <v>251</v>
      </c>
      <c r="C427" s="39" t="s">
        <v>705</v>
      </c>
      <c r="D427" s="142">
        <v>507365704</v>
      </c>
      <c r="E427" s="39" t="s">
        <v>247</v>
      </c>
      <c r="F427" s="109">
        <v>40620</v>
      </c>
      <c r="G427" s="105" t="str">
        <f t="shared" si="12"/>
        <v>Mar</v>
      </c>
      <c r="H427" s="51">
        <f t="shared" ca="1" si="13"/>
        <v>5</v>
      </c>
      <c r="I427" s="52"/>
      <c r="J427" s="53">
        <v>84300</v>
      </c>
      <c r="K427" s="54">
        <v>1</v>
      </c>
    </row>
    <row r="428" spans="1:11" hidden="1" x14ac:dyDescent="0.25">
      <c r="A428" s="39" t="s">
        <v>718</v>
      </c>
      <c r="B428" s="46" t="s">
        <v>285</v>
      </c>
      <c r="C428" s="39" t="s">
        <v>705</v>
      </c>
      <c r="D428" s="142">
        <v>866526302</v>
      </c>
      <c r="E428" s="39" t="s">
        <v>256</v>
      </c>
      <c r="F428" s="81">
        <v>35903</v>
      </c>
      <c r="G428" s="105" t="str">
        <f t="shared" si="12"/>
        <v>Apr</v>
      </c>
      <c r="H428" s="51">
        <f t="shared" ca="1" si="13"/>
        <v>18</v>
      </c>
      <c r="I428" s="52" t="s">
        <v>257</v>
      </c>
      <c r="J428" s="53">
        <v>68520</v>
      </c>
      <c r="K428" s="54">
        <v>5</v>
      </c>
    </row>
    <row r="429" spans="1:11" x14ac:dyDescent="0.25">
      <c r="A429" s="39" t="s">
        <v>735</v>
      </c>
      <c r="B429" s="46" t="s">
        <v>271</v>
      </c>
      <c r="C429" s="39" t="s">
        <v>705</v>
      </c>
      <c r="D429" s="142">
        <v>562036646</v>
      </c>
      <c r="E429" s="39" t="s">
        <v>247</v>
      </c>
      <c r="F429" s="81">
        <v>36623</v>
      </c>
      <c r="G429" s="105" t="str">
        <f t="shared" si="12"/>
        <v>Apr</v>
      </c>
      <c r="H429" s="51">
        <f t="shared" ca="1" si="13"/>
        <v>16</v>
      </c>
      <c r="I429" s="52"/>
      <c r="J429" s="53">
        <v>30300</v>
      </c>
      <c r="K429" s="54">
        <v>1</v>
      </c>
    </row>
    <row r="430" spans="1:11" x14ac:dyDescent="0.25">
      <c r="A430" s="39" t="s">
        <v>742</v>
      </c>
      <c r="B430" s="46" t="s">
        <v>271</v>
      </c>
      <c r="C430" s="39" t="s">
        <v>705</v>
      </c>
      <c r="D430" s="142">
        <v>418649834</v>
      </c>
      <c r="E430" s="39" t="s">
        <v>256</v>
      </c>
      <c r="F430" s="81">
        <v>34111</v>
      </c>
      <c r="G430" s="105" t="str">
        <f t="shared" si="12"/>
        <v>May</v>
      </c>
      <c r="H430" s="51">
        <f t="shared" ca="1" si="13"/>
        <v>23</v>
      </c>
      <c r="I430" s="52" t="s">
        <v>283</v>
      </c>
      <c r="J430" s="53">
        <v>73030</v>
      </c>
      <c r="K430" s="54">
        <v>5</v>
      </c>
    </row>
    <row r="431" spans="1:11" hidden="1" x14ac:dyDescent="0.25">
      <c r="A431" s="39" t="s">
        <v>714</v>
      </c>
      <c r="B431" s="46" t="s">
        <v>280</v>
      </c>
      <c r="C431" s="39" t="s">
        <v>705</v>
      </c>
      <c r="D431" s="142">
        <v>211988558</v>
      </c>
      <c r="E431" s="39" t="s">
        <v>247</v>
      </c>
      <c r="F431" s="81">
        <v>35921</v>
      </c>
      <c r="G431" s="105" t="str">
        <f t="shared" si="12"/>
        <v>May</v>
      </c>
      <c r="H431" s="51">
        <f t="shared" ca="1" si="13"/>
        <v>18</v>
      </c>
      <c r="I431" s="52"/>
      <c r="J431" s="53">
        <v>63330</v>
      </c>
      <c r="K431" s="54">
        <v>4</v>
      </c>
    </row>
    <row r="432" spans="1:11" hidden="1" x14ac:dyDescent="0.25">
      <c r="A432" s="39" t="s">
        <v>716</v>
      </c>
      <c r="B432" s="46" t="s">
        <v>251</v>
      </c>
      <c r="C432" s="39" t="s">
        <v>705</v>
      </c>
      <c r="D432" s="142">
        <v>673697528</v>
      </c>
      <c r="E432" s="39" t="s">
        <v>247</v>
      </c>
      <c r="F432" s="81">
        <v>34502</v>
      </c>
      <c r="G432" s="105" t="str">
        <f t="shared" si="12"/>
        <v>Jun</v>
      </c>
      <c r="H432" s="51">
        <f t="shared" ca="1" si="13"/>
        <v>22</v>
      </c>
      <c r="I432" s="52"/>
      <c r="J432" s="53">
        <v>66710</v>
      </c>
      <c r="K432" s="54">
        <v>2</v>
      </c>
    </row>
    <row r="433" spans="1:11" x14ac:dyDescent="0.25">
      <c r="A433" s="39" t="s">
        <v>739</v>
      </c>
      <c r="B433" s="46" t="s">
        <v>271</v>
      </c>
      <c r="C433" s="39" t="s">
        <v>705</v>
      </c>
      <c r="D433" s="142">
        <v>220013050</v>
      </c>
      <c r="E433" s="39" t="s">
        <v>256</v>
      </c>
      <c r="F433" s="81">
        <v>35969</v>
      </c>
      <c r="G433" s="105" t="str">
        <f t="shared" si="12"/>
        <v>Jun</v>
      </c>
      <c r="H433" s="51">
        <f t="shared" ca="1" si="13"/>
        <v>18</v>
      </c>
      <c r="I433" s="52" t="s">
        <v>257</v>
      </c>
      <c r="J433" s="53">
        <v>74530</v>
      </c>
      <c r="K433" s="54">
        <v>5</v>
      </c>
    </row>
    <row r="434" spans="1:11" x14ac:dyDescent="0.25">
      <c r="A434" s="39" t="s">
        <v>712</v>
      </c>
      <c r="B434" s="46" t="s">
        <v>271</v>
      </c>
      <c r="C434" s="39" t="s">
        <v>705</v>
      </c>
      <c r="D434" s="142">
        <v>930559370</v>
      </c>
      <c r="E434" s="39" t="s">
        <v>252</v>
      </c>
      <c r="F434" s="81">
        <v>36329</v>
      </c>
      <c r="G434" s="105" t="str">
        <f t="shared" si="12"/>
        <v>Jun</v>
      </c>
      <c r="H434" s="51">
        <f t="shared" ca="1" si="13"/>
        <v>17</v>
      </c>
      <c r="I434" s="52"/>
      <c r="J434" s="53">
        <v>39764</v>
      </c>
      <c r="K434" s="54">
        <v>1</v>
      </c>
    </row>
    <row r="435" spans="1:11" hidden="1" x14ac:dyDescent="0.25">
      <c r="A435" s="39" t="s">
        <v>731</v>
      </c>
      <c r="B435" s="46" t="s">
        <v>285</v>
      </c>
      <c r="C435" s="39" t="s">
        <v>705</v>
      </c>
      <c r="D435" s="142">
        <v>690598441</v>
      </c>
      <c r="E435" s="39" t="s">
        <v>261</v>
      </c>
      <c r="F435" s="81">
        <v>36695</v>
      </c>
      <c r="G435" s="105" t="str">
        <f t="shared" si="12"/>
        <v>Jun</v>
      </c>
      <c r="H435" s="51">
        <f t="shared" ca="1" si="13"/>
        <v>16</v>
      </c>
      <c r="I435" s="52" t="s">
        <v>283</v>
      </c>
      <c r="J435" s="53">
        <v>29005</v>
      </c>
      <c r="K435" s="54">
        <v>1</v>
      </c>
    </row>
    <row r="436" spans="1:11" hidden="1" x14ac:dyDescent="0.25">
      <c r="A436" s="39" t="s">
        <v>738</v>
      </c>
      <c r="B436" s="46" t="s">
        <v>285</v>
      </c>
      <c r="C436" s="39" t="s">
        <v>705</v>
      </c>
      <c r="D436" s="142">
        <v>895428197</v>
      </c>
      <c r="E436" s="39" t="s">
        <v>252</v>
      </c>
      <c r="F436" s="81">
        <v>38144</v>
      </c>
      <c r="G436" s="105" t="str">
        <f t="shared" si="12"/>
        <v>Jun</v>
      </c>
      <c r="H436" s="51">
        <f t="shared" ca="1" si="13"/>
        <v>12</v>
      </c>
      <c r="I436" s="52"/>
      <c r="J436" s="53">
        <v>33512</v>
      </c>
      <c r="K436" s="54">
        <v>4</v>
      </c>
    </row>
    <row r="437" spans="1:11" hidden="1" x14ac:dyDescent="0.25">
      <c r="A437" s="39" t="s">
        <v>746</v>
      </c>
      <c r="B437" s="46" t="s">
        <v>285</v>
      </c>
      <c r="C437" s="39" t="s">
        <v>705</v>
      </c>
      <c r="D437" s="142">
        <v>794456068</v>
      </c>
      <c r="E437" s="39" t="s">
        <v>247</v>
      </c>
      <c r="F437" s="81">
        <v>33811</v>
      </c>
      <c r="G437" s="105" t="str">
        <f t="shared" si="12"/>
        <v>Jul</v>
      </c>
      <c r="H437" s="51">
        <f t="shared" ca="1" si="13"/>
        <v>24</v>
      </c>
      <c r="I437" s="52"/>
      <c r="J437" s="53">
        <v>32650</v>
      </c>
      <c r="K437" s="54">
        <v>1</v>
      </c>
    </row>
    <row r="438" spans="1:11" x14ac:dyDescent="0.25">
      <c r="A438" s="39" t="s">
        <v>730</v>
      </c>
      <c r="B438" s="46" t="s">
        <v>271</v>
      </c>
      <c r="C438" s="39" t="s">
        <v>705</v>
      </c>
      <c r="D438" s="142">
        <v>572814011</v>
      </c>
      <c r="E438" s="39" t="s">
        <v>256</v>
      </c>
      <c r="F438" s="81">
        <v>34901</v>
      </c>
      <c r="G438" s="105" t="str">
        <f t="shared" si="12"/>
        <v>Jul</v>
      </c>
      <c r="H438" s="51">
        <f t="shared" ca="1" si="13"/>
        <v>21</v>
      </c>
      <c r="I438" s="52" t="s">
        <v>257</v>
      </c>
      <c r="J438" s="53">
        <v>25830</v>
      </c>
      <c r="K438" s="54">
        <v>5</v>
      </c>
    </row>
    <row r="439" spans="1:11" hidden="1" x14ac:dyDescent="0.25">
      <c r="A439" s="39" t="s">
        <v>723</v>
      </c>
      <c r="B439" s="46" t="s">
        <v>285</v>
      </c>
      <c r="C439" s="39" t="s">
        <v>705</v>
      </c>
      <c r="D439" s="142">
        <v>675325362</v>
      </c>
      <c r="E439" s="39" t="s">
        <v>256</v>
      </c>
      <c r="F439" s="81">
        <v>38916</v>
      </c>
      <c r="G439" s="105" t="str">
        <f t="shared" si="12"/>
        <v>Jul</v>
      </c>
      <c r="H439" s="51">
        <f t="shared" ca="1" si="13"/>
        <v>10</v>
      </c>
      <c r="I439" s="52" t="s">
        <v>262</v>
      </c>
      <c r="J439" s="53">
        <v>27560</v>
      </c>
      <c r="K439" s="54">
        <v>2</v>
      </c>
    </row>
    <row r="440" spans="1:11" hidden="1" x14ac:dyDescent="0.25">
      <c r="A440" s="39" t="s">
        <v>729</v>
      </c>
      <c r="B440" s="46" t="s">
        <v>245</v>
      </c>
      <c r="C440" s="39" t="s">
        <v>705</v>
      </c>
      <c r="D440" s="142">
        <v>947793915</v>
      </c>
      <c r="E440" s="39" t="s">
        <v>256</v>
      </c>
      <c r="F440" s="81">
        <v>39657</v>
      </c>
      <c r="G440" s="105" t="str">
        <f t="shared" si="12"/>
        <v>Jul</v>
      </c>
      <c r="H440" s="51">
        <f t="shared" ca="1" si="13"/>
        <v>8</v>
      </c>
      <c r="I440" s="52" t="s">
        <v>276</v>
      </c>
      <c r="J440" s="53">
        <v>80880</v>
      </c>
      <c r="K440" s="54">
        <v>1</v>
      </c>
    </row>
    <row r="441" spans="1:11" hidden="1" x14ac:dyDescent="0.25">
      <c r="A441" s="39" t="s">
        <v>710</v>
      </c>
      <c r="B441" s="46" t="s">
        <v>251</v>
      </c>
      <c r="C441" s="39" t="s">
        <v>705</v>
      </c>
      <c r="D441" s="142">
        <v>433317176</v>
      </c>
      <c r="E441" s="39" t="s">
        <v>256</v>
      </c>
      <c r="F441" s="81">
        <v>40370</v>
      </c>
      <c r="G441" s="105" t="str">
        <f t="shared" si="12"/>
        <v>Jul</v>
      </c>
      <c r="H441" s="51">
        <f t="shared" ca="1" si="13"/>
        <v>6</v>
      </c>
      <c r="I441" s="52" t="s">
        <v>257</v>
      </c>
      <c r="J441" s="53">
        <v>66840</v>
      </c>
      <c r="K441" s="54">
        <v>4</v>
      </c>
    </row>
    <row r="442" spans="1:11" hidden="1" x14ac:dyDescent="0.25">
      <c r="A442" s="39" t="s">
        <v>725</v>
      </c>
      <c r="B442" s="46" t="s">
        <v>285</v>
      </c>
      <c r="C442" s="39" t="s">
        <v>705</v>
      </c>
      <c r="D442" s="142">
        <v>130375210</v>
      </c>
      <c r="E442" s="39" t="s">
        <v>256</v>
      </c>
      <c r="F442" s="81">
        <v>33457</v>
      </c>
      <c r="G442" s="105" t="str">
        <f t="shared" si="12"/>
        <v>Aug</v>
      </c>
      <c r="H442" s="51">
        <f t="shared" ca="1" si="13"/>
        <v>25</v>
      </c>
      <c r="I442" s="52" t="s">
        <v>267</v>
      </c>
      <c r="J442" s="53">
        <v>61470</v>
      </c>
      <c r="K442" s="54">
        <v>5</v>
      </c>
    </row>
    <row r="443" spans="1:11" hidden="1" x14ac:dyDescent="0.25">
      <c r="A443" s="39" t="s">
        <v>709</v>
      </c>
      <c r="B443" s="46" t="s">
        <v>245</v>
      </c>
      <c r="C443" s="39" t="s">
        <v>705</v>
      </c>
      <c r="D443" s="142">
        <v>314742078</v>
      </c>
      <c r="E443" s="39" t="s">
        <v>261</v>
      </c>
      <c r="F443" s="81">
        <v>37470</v>
      </c>
      <c r="G443" s="105" t="str">
        <f t="shared" si="12"/>
        <v>Aug</v>
      </c>
      <c r="H443" s="51">
        <f t="shared" ca="1" si="13"/>
        <v>14</v>
      </c>
      <c r="I443" s="52" t="s">
        <v>257</v>
      </c>
      <c r="J443" s="53">
        <v>33810</v>
      </c>
      <c r="K443" s="54">
        <v>5</v>
      </c>
    </row>
    <row r="444" spans="1:11" x14ac:dyDescent="0.25">
      <c r="A444" s="39" t="s">
        <v>711</v>
      </c>
      <c r="B444" s="46" t="s">
        <v>271</v>
      </c>
      <c r="C444" s="39" t="s">
        <v>705</v>
      </c>
      <c r="D444" s="142">
        <v>427849768</v>
      </c>
      <c r="E444" s="39" t="s">
        <v>256</v>
      </c>
      <c r="F444" s="81">
        <v>38227</v>
      </c>
      <c r="G444" s="105" t="str">
        <f t="shared" si="12"/>
        <v>Aug</v>
      </c>
      <c r="H444" s="51">
        <f t="shared" ca="1" si="13"/>
        <v>12</v>
      </c>
      <c r="I444" s="52" t="s">
        <v>283</v>
      </c>
      <c r="J444" s="53">
        <v>86200</v>
      </c>
      <c r="K444" s="54">
        <v>3</v>
      </c>
    </row>
    <row r="445" spans="1:11" hidden="1" x14ac:dyDescent="0.25">
      <c r="A445" s="39" t="s">
        <v>721</v>
      </c>
      <c r="B445" s="46" t="s">
        <v>251</v>
      </c>
      <c r="C445" s="39" t="s">
        <v>705</v>
      </c>
      <c r="D445" s="142">
        <v>404332756</v>
      </c>
      <c r="E445" s="39" t="s">
        <v>261</v>
      </c>
      <c r="F445" s="81">
        <v>39299</v>
      </c>
      <c r="G445" s="105" t="str">
        <f t="shared" si="12"/>
        <v>Aug</v>
      </c>
      <c r="H445" s="51">
        <f t="shared" ca="1" si="13"/>
        <v>9</v>
      </c>
      <c r="I445" s="52" t="s">
        <v>276</v>
      </c>
      <c r="J445" s="53">
        <v>47760</v>
      </c>
      <c r="K445" s="54">
        <v>3</v>
      </c>
    </row>
    <row r="446" spans="1:11" hidden="1" x14ac:dyDescent="0.25">
      <c r="A446" s="39" t="s">
        <v>732</v>
      </c>
      <c r="B446" s="46" t="s">
        <v>266</v>
      </c>
      <c r="C446" s="39" t="s">
        <v>705</v>
      </c>
      <c r="D446" s="142">
        <v>992015244</v>
      </c>
      <c r="E446" s="39" t="s">
        <v>256</v>
      </c>
      <c r="F446" s="81">
        <v>39678</v>
      </c>
      <c r="G446" s="105" t="str">
        <f t="shared" si="12"/>
        <v>Aug</v>
      </c>
      <c r="H446" s="51">
        <f t="shared" ca="1" si="13"/>
        <v>8</v>
      </c>
      <c r="I446" s="52" t="s">
        <v>283</v>
      </c>
      <c r="J446" s="53">
        <v>80090</v>
      </c>
      <c r="K446" s="54">
        <v>2</v>
      </c>
    </row>
    <row r="447" spans="1:11" hidden="1" x14ac:dyDescent="0.25">
      <c r="A447" s="39" t="s">
        <v>706</v>
      </c>
      <c r="B447" s="46" t="s">
        <v>266</v>
      </c>
      <c r="C447" s="39" t="s">
        <v>705</v>
      </c>
      <c r="D447" s="142">
        <v>935468652</v>
      </c>
      <c r="E447" s="39" t="s">
        <v>261</v>
      </c>
      <c r="F447" s="103">
        <v>40393</v>
      </c>
      <c r="G447" s="105" t="str">
        <f t="shared" si="12"/>
        <v>Aug</v>
      </c>
      <c r="H447" s="51">
        <f t="shared" ca="1" si="13"/>
        <v>6</v>
      </c>
      <c r="I447" s="52" t="s">
        <v>257</v>
      </c>
      <c r="J447" s="53">
        <v>16925</v>
      </c>
      <c r="K447" s="54">
        <v>1</v>
      </c>
    </row>
    <row r="448" spans="1:11" hidden="1" x14ac:dyDescent="0.25">
      <c r="A448" s="39" t="s">
        <v>741</v>
      </c>
      <c r="B448" s="46" t="s">
        <v>245</v>
      </c>
      <c r="C448" s="39" t="s">
        <v>705</v>
      </c>
      <c r="D448" s="142">
        <v>558455337</v>
      </c>
      <c r="E448" s="39" t="s">
        <v>252</v>
      </c>
      <c r="F448" s="109">
        <v>40403</v>
      </c>
      <c r="G448" s="105" t="str">
        <f t="shared" si="12"/>
        <v>Aug</v>
      </c>
      <c r="H448" s="51">
        <f t="shared" ca="1" si="13"/>
        <v>6</v>
      </c>
      <c r="I448" s="52"/>
      <c r="J448" s="53">
        <v>15056</v>
      </c>
      <c r="K448" s="54">
        <v>5</v>
      </c>
    </row>
    <row r="449" spans="1:11" x14ac:dyDescent="0.25">
      <c r="A449" s="39" t="s">
        <v>704</v>
      </c>
      <c r="B449" s="46" t="s">
        <v>271</v>
      </c>
      <c r="C449" s="39" t="s">
        <v>705</v>
      </c>
      <c r="D449" s="142">
        <v>585929857</v>
      </c>
      <c r="E449" s="39" t="s">
        <v>261</v>
      </c>
      <c r="F449" s="81">
        <v>33502</v>
      </c>
      <c r="G449" s="105" t="str">
        <f t="shared" si="12"/>
        <v>Sep</v>
      </c>
      <c r="H449" s="51">
        <f t="shared" ca="1" si="13"/>
        <v>25</v>
      </c>
      <c r="I449" s="52" t="s">
        <v>262</v>
      </c>
      <c r="J449" s="53">
        <v>35045</v>
      </c>
      <c r="K449" s="54">
        <v>4</v>
      </c>
    </row>
    <row r="450" spans="1:11" hidden="1" x14ac:dyDescent="0.25">
      <c r="A450" s="39" t="s">
        <v>733</v>
      </c>
      <c r="B450" s="46" t="s">
        <v>285</v>
      </c>
      <c r="C450" s="39" t="s">
        <v>705</v>
      </c>
      <c r="D450" s="142">
        <v>342090270</v>
      </c>
      <c r="E450" s="39" t="s">
        <v>256</v>
      </c>
      <c r="F450" s="81">
        <v>33878</v>
      </c>
      <c r="G450" s="105" t="str">
        <f t="shared" ref="G450:G513" si="14">CHOOSE(MONTH(F450),"Jan","Feb","Mar","Apr","May","Jun","Jul","Aug","Sep","Oct","Nov","Dec")</f>
        <v>Oct</v>
      </c>
      <c r="H450" s="51">
        <f t="shared" ref="H450:H513" ca="1" si="15">DATEDIF(F450,TODAY(),"Y")</f>
        <v>24</v>
      </c>
      <c r="I450" s="52" t="s">
        <v>276</v>
      </c>
      <c r="J450" s="53">
        <v>75370</v>
      </c>
      <c r="K450" s="54">
        <v>2</v>
      </c>
    </row>
    <row r="451" spans="1:11" x14ac:dyDescent="0.25">
      <c r="A451" s="39" t="s">
        <v>736</v>
      </c>
      <c r="B451" s="46" t="s">
        <v>271</v>
      </c>
      <c r="C451" s="39" t="s">
        <v>705</v>
      </c>
      <c r="D451" s="142">
        <v>557370159</v>
      </c>
      <c r="E451" s="39" t="s">
        <v>256</v>
      </c>
      <c r="F451" s="81">
        <v>33881</v>
      </c>
      <c r="G451" s="105" t="str">
        <f t="shared" si="14"/>
        <v>Oct</v>
      </c>
      <c r="H451" s="51">
        <f t="shared" ca="1" si="15"/>
        <v>24</v>
      </c>
      <c r="I451" s="52" t="s">
        <v>276</v>
      </c>
      <c r="J451" s="53">
        <v>46910</v>
      </c>
      <c r="K451" s="54">
        <v>3</v>
      </c>
    </row>
    <row r="452" spans="1:11" hidden="1" x14ac:dyDescent="0.25">
      <c r="A452" s="39" t="s">
        <v>734</v>
      </c>
      <c r="B452" s="46" t="s">
        <v>251</v>
      </c>
      <c r="C452" s="39" t="s">
        <v>705</v>
      </c>
      <c r="D452" s="142">
        <v>115619257</v>
      </c>
      <c r="E452" s="39" t="s">
        <v>261</v>
      </c>
      <c r="F452" s="81">
        <v>34617</v>
      </c>
      <c r="G452" s="105" t="str">
        <f t="shared" si="14"/>
        <v>Oct</v>
      </c>
      <c r="H452" s="51">
        <f t="shared" ca="1" si="15"/>
        <v>22</v>
      </c>
      <c r="I452" s="52" t="s">
        <v>257</v>
      </c>
      <c r="J452" s="53">
        <v>13435</v>
      </c>
      <c r="K452" s="54">
        <v>1</v>
      </c>
    </row>
    <row r="453" spans="1:11" hidden="1" x14ac:dyDescent="0.25">
      <c r="A453" s="39" t="s">
        <v>713</v>
      </c>
      <c r="B453" s="46" t="s">
        <v>245</v>
      </c>
      <c r="C453" s="39" t="s">
        <v>705</v>
      </c>
      <c r="D453" s="142">
        <v>529668828</v>
      </c>
      <c r="E453" s="39" t="s">
        <v>256</v>
      </c>
      <c r="F453" s="81">
        <v>35339</v>
      </c>
      <c r="G453" s="105" t="str">
        <f t="shared" si="14"/>
        <v>Oct</v>
      </c>
      <c r="H453" s="51">
        <f t="shared" ca="1" si="15"/>
        <v>20</v>
      </c>
      <c r="I453" s="52" t="s">
        <v>283</v>
      </c>
      <c r="J453" s="53">
        <v>43410</v>
      </c>
      <c r="K453" s="54">
        <v>1</v>
      </c>
    </row>
    <row r="454" spans="1:11" x14ac:dyDescent="0.25">
      <c r="A454" s="39" t="s">
        <v>724</v>
      </c>
      <c r="B454" s="46" t="s">
        <v>271</v>
      </c>
      <c r="C454" s="39" t="s">
        <v>705</v>
      </c>
      <c r="D454" s="142">
        <v>500754969</v>
      </c>
      <c r="E454" s="39" t="s">
        <v>252</v>
      </c>
      <c r="F454" s="103">
        <v>40452</v>
      </c>
      <c r="G454" s="105" t="str">
        <f t="shared" si="14"/>
        <v>Oct</v>
      </c>
      <c r="H454" s="51">
        <f t="shared" ca="1" si="15"/>
        <v>6</v>
      </c>
      <c r="I454" s="52"/>
      <c r="J454" s="53">
        <v>9180</v>
      </c>
      <c r="K454" s="54">
        <v>3</v>
      </c>
    </row>
    <row r="455" spans="1:11" hidden="1" x14ac:dyDescent="0.25">
      <c r="A455" s="39" t="s">
        <v>745</v>
      </c>
      <c r="B455" s="46" t="s">
        <v>251</v>
      </c>
      <c r="C455" s="39" t="s">
        <v>705</v>
      </c>
      <c r="D455" s="142">
        <v>658776479</v>
      </c>
      <c r="E455" s="39" t="s">
        <v>247</v>
      </c>
      <c r="F455" s="81">
        <v>40468</v>
      </c>
      <c r="G455" s="105" t="str">
        <f t="shared" si="14"/>
        <v>Oct</v>
      </c>
      <c r="H455" s="51">
        <f t="shared" ca="1" si="15"/>
        <v>6</v>
      </c>
      <c r="I455" s="52"/>
      <c r="J455" s="53">
        <v>39440</v>
      </c>
      <c r="K455" s="54">
        <v>4</v>
      </c>
    </row>
    <row r="456" spans="1:11" hidden="1" x14ac:dyDescent="0.25">
      <c r="A456" s="39" t="s">
        <v>744</v>
      </c>
      <c r="B456" s="46" t="s">
        <v>285</v>
      </c>
      <c r="C456" s="39" t="s">
        <v>705</v>
      </c>
      <c r="D456" s="142">
        <v>816149820</v>
      </c>
      <c r="E456" s="39" t="s">
        <v>256</v>
      </c>
      <c r="F456" s="81">
        <v>33928</v>
      </c>
      <c r="G456" s="105" t="str">
        <f t="shared" si="14"/>
        <v>Nov</v>
      </c>
      <c r="H456" s="51">
        <f t="shared" ca="1" si="15"/>
        <v>23</v>
      </c>
      <c r="I456" s="52" t="s">
        <v>262</v>
      </c>
      <c r="J456" s="53">
        <v>68010</v>
      </c>
      <c r="K456" s="54">
        <v>1</v>
      </c>
    </row>
    <row r="457" spans="1:11" hidden="1" x14ac:dyDescent="0.25">
      <c r="A457" s="39" t="s">
        <v>748</v>
      </c>
      <c r="B457" s="46" t="s">
        <v>285</v>
      </c>
      <c r="C457" s="39" t="s">
        <v>705</v>
      </c>
      <c r="D457" s="142">
        <v>986794519</v>
      </c>
      <c r="E457" s="39" t="s">
        <v>256</v>
      </c>
      <c r="F457" s="81">
        <v>35379</v>
      </c>
      <c r="G457" s="105" t="str">
        <f t="shared" si="14"/>
        <v>Nov</v>
      </c>
      <c r="H457" s="51">
        <f t="shared" ca="1" si="15"/>
        <v>20</v>
      </c>
      <c r="I457" s="52" t="s">
        <v>276</v>
      </c>
      <c r="J457" s="53">
        <v>67230</v>
      </c>
      <c r="K457" s="54">
        <v>4</v>
      </c>
    </row>
    <row r="458" spans="1:11" hidden="1" x14ac:dyDescent="0.25">
      <c r="A458" s="39" t="s">
        <v>726</v>
      </c>
      <c r="B458" s="46" t="s">
        <v>285</v>
      </c>
      <c r="C458" s="39" t="s">
        <v>705</v>
      </c>
      <c r="D458" s="142">
        <v>873236934</v>
      </c>
      <c r="E458" s="39" t="s">
        <v>256</v>
      </c>
      <c r="F458" s="81">
        <v>39404</v>
      </c>
      <c r="G458" s="105" t="str">
        <f t="shared" si="14"/>
        <v>Nov</v>
      </c>
      <c r="H458" s="51">
        <f t="shared" ca="1" si="15"/>
        <v>8</v>
      </c>
      <c r="I458" s="52" t="s">
        <v>267</v>
      </c>
      <c r="J458" s="53">
        <v>50990</v>
      </c>
      <c r="K458" s="54">
        <v>4</v>
      </c>
    </row>
    <row r="459" spans="1:11" x14ac:dyDescent="0.25">
      <c r="A459" s="39" t="s">
        <v>747</v>
      </c>
      <c r="B459" s="46" t="s">
        <v>271</v>
      </c>
      <c r="C459" s="39" t="s">
        <v>705</v>
      </c>
      <c r="D459" s="142">
        <v>434731137</v>
      </c>
      <c r="E459" s="39" t="s">
        <v>256</v>
      </c>
      <c r="F459" s="81">
        <v>33578</v>
      </c>
      <c r="G459" s="105" t="str">
        <f t="shared" si="14"/>
        <v>Dec</v>
      </c>
      <c r="H459" s="51">
        <f t="shared" ca="1" si="15"/>
        <v>24</v>
      </c>
      <c r="I459" s="52" t="s">
        <v>257</v>
      </c>
      <c r="J459" s="53">
        <v>43580</v>
      </c>
      <c r="K459" s="54">
        <v>5</v>
      </c>
    </row>
    <row r="460" spans="1:11" x14ac:dyDescent="0.25">
      <c r="A460" s="39" t="s">
        <v>727</v>
      </c>
      <c r="B460" s="46" t="s">
        <v>271</v>
      </c>
      <c r="C460" s="39" t="s">
        <v>705</v>
      </c>
      <c r="D460" s="142">
        <v>498916811</v>
      </c>
      <c r="E460" s="39" t="s">
        <v>256</v>
      </c>
      <c r="F460" s="81">
        <v>35412</v>
      </c>
      <c r="G460" s="105" t="str">
        <f t="shared" si="14"/>
        <v>Dec</v>
      </c>
      <c r="H460" s="51">
        <f t="shared" ca="1" si="15"/>
        <v>19</v>
      </c>
      <c r="I460" s="52" t="s">
        <v>262</v>
      </c>
      <c r="J460" s="53">
        <v>77950</v>
      </c>
      <c r="K460" s="54">
        <v>4</v>
      </c>
    </row>
    <row r="461" spans="1:11" hidden="1" x14ac:dyDescent="0.25">
      <c r="A461" s="39" t="s">
        <v>720</v>
      </c>
      <c r="B461" s="46" t="s">
        <v>280</v>
      </c>
      <c r="C461" s="39" t="s">
        <v>705</v>
      </c>
      <c r="D461" s="142">
        <v>817293557</v>
      </c>
      <c r="E461" s="39" t="s">
        <v>247</v>
      </c>
      <c r="F461" s="81">
        <v>39783</v>
      </c>
      <c r="G461" s="105" t="str">
        <f t="shared" si="14"/>
        <v>Dec</v>
      </c>
      <c r="H461" s="51">
        <f t="shared" ca="1" si="15"/>
        <v>7</v>
      </c>
      <c r="I461" s="52"/>
      <c r="J461" s="53">
        <v>54000</v>
      </c>
      <c r="K461" s="54">
        <v>3</v>
      </c>
    </row>
    <row r="462" spans="1:11" hidden="1" x14ac:dyDescent="0.25">
      <c r="A462" s="39" t="s">
        <v>751</v>
      </c>
      <c r="B462" s="46" t="s">
        <v>285</v>
      </c>
      <c r="C462" s="39" t="s">
        <v>750</v>
      </c>
      <c r="D462" s="142">
        <v>198920395</v>
      </c>
      <c r="E462" s="39" t="s">
        <v>256</v>
      </c>
      <c r="F462" s="81">
        <v>33246</v>
      </c>
      <c r="G462" s="105" t="str">
        <f t="shared" si="14"/>
        <v>Jan</v>
      </c>
      <c r="H462" s="51">
        <f t="shared" ca="1" si="15"/>
        <v>25</v>
      </c>
      <c r="I462" s="52" t="s">
        <v>257</v>
      </c>
      <c r="J462" s="53">
        <v>71730</v>
      </c>
      <c r="K462" s="54">
        <v>1</v>
      </c>
    </row>
    <row r="463" spans="1:11" hidden="1" x14ac:dyDescent="0.25">
      <c r="A463" s="39" t="s">
        <v>757</v>
      </c>
      <c r="B463" s="46" t="s">
        <v>285</v>
      </c>
      <c r="C463" s="39" t="s">
        <v>750</v>
      </c>
      <c r="D463" s="142">
        <v>750544646</v>
      </c>
      <c r="E463" s="39" t="s">
        <v>256</v>
      </c>
      <c r="F463" s="81">
        <v>33280</v>
      </c>
      <c r="G463" s="105" t="str">
        <f t="shared" si="14"/>
        <v>Feb</v>
      </c>
      <c r="H463" s="51">
        <f t="shared" ca="1" si="15"/>
        <v>25</v>
      </c>
      <c r="I463" s="52" t="s">
        <v>257</v>
      </c>
      <c r="J463" s="53">
        <v>87950</v>
      </c>
      <c r="K463" s="54">
        <v>4</v>
      </c>
    </row>
    <row r="464" spans="1:11" hidden="1" x14ac:dyDescent="0.25">
      <c r="A464" s="39" t="s">
        <v>765</v>
      </c>
      <c r="B464" s="46" t="s">
        <v>251</v>
      </c>
      <c r="C464" s="39" t="s">
        <v>750</v>
      </c>
      <c r="D464" s="142">
        <v>519460681</v>
      </c>
      <c r="E464" s="39" t="s">
        <v>247</v>
      </c>
      <c r="F464" s="81">
        <v>33286</v>
      </c>
      <c r="G464" s="105" t="str">
        <f t="shared" si="14"/>
        <v>Feb</v>
      </c>
      <c r="H464" s="51">
        <f t="shared" ca="1" si="15"/>
        <v>25</v>
      </c>
      <c r="I464" s="52"/>
      <c r="J464" s="53">
        <v>49070</v>
      </c>
      <c r="K464" s="54">
        <v>3</v>
      </c>
    </row>
    <row r="465" spans="1:11" x14ac:dyDescent="0.25">
      <c r="A465" s="39" t="s">
        <v>759</v>
      </c>
      <c r="B465" s="46" t="s">
        <v>271</v>
      </c>
      <c r="C465" s="39" t="s">
        <v>750</v>
      </c>
      <c r="D465" s="142">
        <v>463718381</v>
      </c>
      <c r="E465" s="39" t="s">
        <v>256</v>
      </c>
      <c r="F465" s="81">
        <v>33320</v>
      </c>
      <c r="G465" s="105" t="str">
        <f t="shared" si="14"/>
        <v>Mar</v>
      </c>
      <c r="H465" s="51">
        <f t="shared" ca="1" si="15"/>
        <v>25</v>
      </c>
      <c r="I465" s="52" t="s">
        <v>276</v>
      </c>
      <c r="J465" s="53">
        <v>35320</v>
      </c>
      <c r="K465" s="54">
        <v>3</v>
      </c>
    </row>
    <row r="466" spans="1:11" hidden="1" x14ac:dyDescent="0.25">
      <c r="A466" s="39" t="s">
        <v>761</v>
      </c>
      <c r="B466" s="46" t="s">
        <v>285</v>
      </c>
      <c r="C466" s="39" t="s">
        <v>750</v>
      </c>
      <c r="D466" s="142">
        <v>756956523</v>
      </c>
      <c r="E466" s="39" t="s">
        <v>261</v>
      </c>
      <c r="F466" s="81">
        <v>33349</v>
      </c>
      <c r="G466" s="105" t="str">
        <f t="shared" si="14"/>
        <v>Apr</v>
      </c>
      <c r="H466" s="51">
        <f t="shared" ca="1" si="15"/>
        <v>25</v>
      </c>
      <c r="I466" s="52" t="s">
        <v>276</v>
      </c>
      <c r="J466" s="53">
        <v>16015</v>
      </c>
      <c r="K466" s="54">
        <v>3</v>
      </c>
    </row>
    <row r="467" spans="1:11" x14ac:dyDescent="0.25">
      <c r="A467" s="39" t="s">
        <v>752</v>
      </c>
      <c r="B467" s="46" t="s">
        <v>271</v>
      </c>
      <c r="C467" s="39" t="s">
        <v>750</v>
      </c>
      <c r="D467" s="142">
        <v>195998584</v>
      </c>
      <c r="E467" s="39" t="s">
        <v>256</v>
      </c>
      <c r="F467" s="81">
        <v>33440</v>
      </c>
      <c r="G467" s="105" t="str">
        <f t="shared" si="14"/>
        <v>Jul</v>
      </c>
      <c r="H467" s="51">
        <f t="shared" ca="1" si="15"/>
        <v>25</v>
      </c>
      <c r="I467" s="52" t="s">
        <v>257</v>
      </c>
      <c r="J467" s="53">
        <v>69400</v>
      </c>
      <c r="K467" s="54">
        <v>5</v>
      </c>
    </row>
    <row r="468" spans="1:11" hidden="1" x14ac:dyDescent="0.25">
      <c r="A468" s="39" t="s">
        <v>754</v>
      </c>
      <c r="B468" s="46" t="s">
        <v>285</v>
      </c>
      <c r="C468" s="39" t="s">
        <v>750</v>
      </c>
      <c r="D468" s="142">
        <v>903331932</v>
      </c>
      <c r="E468" s="39" t="s">
        <v>261</v>
      </c>
      <c r="F468" s="81">
        <v>33112</v>
      </c>
      <c r="G468" s="105" t="str">
        <f t="shared" si="14"/>
        <v>Aug</v>
      </c>
      <c r="H468" s="51">
        <f t="shared" ca="1" si="15"/>
        <v>26</v>
      </c>
      <c r="I468" s="52" t="s">
        <v>267</v>
      </c>
      <c r="J468" s="53">
        <v>24815</v>
      </c>
      <c r="K468" s="54">
        <v>1</v>
      </c>
    </row>
    <row r="469" spans="1:11" x14ac:dyDescent="0.25">
      <c r="A469" s="39" t="s">
        <v>762</v>
      </c>
      <c r="B469" s="46" t="s">
        <v>271</v>
      </c>
      <c r="C469" s="39" t="s">
        <v>750</v>
      </c>
      <c r="D469" s="142">
        <v>139074946</v>
      </c>
      <c r="E469" s="39" t="s">
        <v>256</v>
      </c>
      <c r="F469" s="81">
        <v>33113</v>
      </c>
      <c r="G469" s="105" t="str">
        <f t="shared" si="14"/>
        <v>Aug</v>
      </c>
      <c r="H469" s="51">
        <f t="shared" ca="1" si="15"/>
        <v>26</v>
      </c>
      <c r="I469" s="52" t="s">
        <v>257</v>
      </c>
      <c r="J469" s="53">
        <v>32600</v>
      </c>
      <c r="K469" s="54">
        <v>5</v>
      </c>
    </row>
    <row r="470" spans="1:11" x14ac:dyDescent="0.25">
      <c r="A470" s="39" t="s">
        <v>764</v>
      </c>
      <c r="B470" s="46" t="s">
        <v>271</v>
      </c>
      <c r="C470" s="39" t="s">
        <v>750</v>
      </c>
      <c r="D470" s="142">
        <v>999012010</v>
      </c>
      <c r="E470" s="39" t="s">
        <v>256</v>
      </c>
      <c r="F470" s="81">
        <v>33460</v>
      </c>
      <c r="G470" s="105" t="str">
        <f t="shared" si="14"/>
        <v>Aug</v>
      </c>
      <c r="H470" s="51">
        <f t="shared" ca="1" si="15"/>
        <v>25</v>
      </c>
      <c r="I470" s="52" t="s">
        <v>283</v>
      </c>
      <c r="J470" s="53">
        <v>77720</v>
      </c>
      <c r="K470" s="54">
        <v>3</v>
      </c>
    </row>
    <row r="471" spans="1:11" hidden="1" x14ac:dyDescent="0.25">
      <c r="A471" s="39" t="s">
        <v>753</v>
      </c>
      <c r="B471" s="46" t="s">
        <v>285</v>
      </c>
      <c r="C471" s="39" t="s">
        <v>750</v>
      </c>
      <c r="D471" s="142">
        <v>767586272</v>
      </c>
      <c r="E471" s="39" t="s">
        <v>252</v>
      </c>
      <c r="F471" s="81">
        <v>33158</v>
      </c>
      <c r="G471" s="105" t="str">
        <f t="shared" si="14"/>
        <v>Oct</v>
      </c>
      <c r="H471" s="51">
        <f t="shared" ca="1" si="15"/>
        <v>26</v>
      </c>
      <c r="I471" s="52"/>
      <c r="J471" s="53">
        <v>33232</v>
      </c>
      <c r="K471" s="54">
        <v>4</v>
      </c>
    </row>
    <row r="472" spans="1:11" hidden="1" x14ac:dyDescent="0.25">
      <c r="A472" s="39" t="s">
        <v>763</v>
      </c>
      <c r="B472" s="46" t="s">
        <v>245</v>
      </c>
      <c r="C472" s="39" t="s">
        <v>750</v>
      </c>
      <c r="D472" s="142">
        <v>987757397</v>
      </c>
      <c r="E472" s="39" t="s">
        <v>261</v>
      </c>
      <c r="F472" s="108">
        <v>33160</v>
      </c>
      <c r="G472" s="105" t="str">
        <f t="shared" si="14"/>
        <v>Oct</v>
      </c>
      <c r="H472" s="51">
        <f t="shared" ca="1" si="15"/>
        <v>26</v>
      </c>
      <c r="I472" s="52" t="s">
        <v>262</v>
      </c>
      <c r="J472" s="53">
        <v>39620</v>
      </c>
      <c r="K472" s="54">
        <v>5</v>
      </c>
    </row>
    <row r="473" spans="1:11" hidden="1" x14ac:dyDescent="0.25">
      <c r="A473" s="39" t="s">
        <v>749</v>
      </c>
      <c r="B473" s="46" t="s">
        <v>266</v>
      </c>
      <c r="C473" s="39" t="s">
        <v>750</v>
      </c>
      <c r="D473" s="142">
        <v>272737508</v>
      </c>
      <c r="E473" s="39" t="s">
        <v>256</v>
      </c>
      <c r="F473" s="81">
        <v>33513</v>
      </c>
      <c r="G473" s="105" t="str">
        <f t="shared" si="14"/>
        <v>Oct</v>
      </c>
      <c r="H473" s="51">
        <f t="shared" ca="1" si="15"/>
        <v>25</v>
      </c>
      <c r="I473" s="52" t="s">
        <v>267</v>
      </c>
      <c r="J473" s="53">
        <v>44560</v>
      </c>
      <c r="K473" s="54">
        <v>2</v>
      </c>
    </row>
    <row r="474" spans="1:11" x14ac:dyDescent="0.25">
      <c r="A474" s="39" t="s">
        <v>756</v>
      </c>
      <c r="B474" s="46" t="s">
        <v>271</v>
      </c>
      <c r="C474" s="39" t="s">
        <v>750</v>
      </c>
      <c r="D474" s="142">
        <v>907144341</v>
      </c>
      <c r="E474" s="39" t="s">
        <v>256</v>
      </c>
      <c r="F474" s="81">
        <v>33536</v>
      </c>
      <c r="G474" s="105" t="str">
        <f t="shared" si="14"/>
        <v>Oct</v>
      </c>
      <c r="H474" s="51">
        <f t="shared" ca="1" si="15"/>
        <v>25</v>
      </c>
      <c r="I474" s="52" t="s">
        <v>257</v>
      </c>
      <c r="J474" s="53">
        <v>81530</v>
      </c>
      <c r="K474" s="54">
        <v>5</v>
      </c>
    </row>
    <row r="475" spans="1:11" hidden="1" x14ac:dyDescent="0.25">
      <c r="A475" s="39" t="s">
        <v>760</v>
      </c>
      <c r="B475" s="46" t="s">
        <v>266</v>
      </c>
      <c r="C475" s="39" t="s">
        <v>750</v>
      </c>
      <c r="D475" s="142">
        <v>995151036</v>
      </c>
      <c r="E475" s="39" t="s">
        <v>256</v>
      </c>
      <c r="F475" s="81">
        <v>33179</v>
      </c>
      <c r="G475" s="105" t="str">
        <f t="shared" si="14"/>
        <v>Nov</v>
      </c>
      <c r="H475" s="51">
        <f t="shared" ca="1" si="15"/>
        <v>26</v>
      </c>
      <c r="I475" s="52" t="s">
        <v>283</v>
      </c>
      <c r="J475" s="53">
        <v>43110</v>
      </c>
      <c r="K475" s="54">
        <v>2</v>
      </c>
    </row>
    <row r="476" spans="1:11" hidden="1" x14ac:dyDescent="0.25">
      <c r="A476" s="39" t="s">
        <v>755</v>
      </c>
      <c r="B476" s="46" t="s">
        <v>285</v>
      </c>
      <c r="C476" s="39" t="s">
        <v>750</v>
      </c>
      <c r="D476" s="142">
        <v>247819217</v>
      </c>
      <c r="E476" s="39" t="s">
        <v>256</v>
      </c>
      <c r="F476" s="81">
        <v>33186</v>
      </c>
      <c r="G476" s="105" t="str">
        <f t="shared" si="14"/>
        <v>Nov</v>
      </c>
      <c r="H476" s="51">
        <f t="shared" ca="1" si="15"/>
        <v>26</v>
      </c>
      <c r="I476" s="52" t="s">
        <v>257</v>
      </c>
      <c r="J476" s="53">
        <v>40940</v>
      </c>
      <c r="K476" s="54">
        <v>3</v>
      </c>
    </row>
    <row r="477" spans="1:11" hidden="1" x14ac:dyDescent="0.25">
      <c r="A477" s="39" t="s">
        <v>758</v>
      </c>
      <c r="B477" s="46" t="s">
        <v>245</v>
      </c>
      <c r="C477" s="39" t="s">
        <v>750</v>
      </c>
      <c r="D477" s="142">
        <v>473777710</v>
      </c>
      <c r="E477" s="39" t="s">
        <v>256</v>
      </c>
      <c r="F477" s="81">
        <v>33588</v>
      </c>
      <c r="G477" s="105" t="str">
        <f t="shared" si="14"/>
        <v>Dec</v>
      </c>
      <c r="H477" s="51">
        <f t="shared" ca="1" si="15"/>
        <v>24</v>
      </c>
      <c r="I477" s="52" t="s">
        <v>283</v>
      </c>
      <c r="J477" s="53">
        <v>44620</v>
      </c>
      <c r="K477" s="54">
        <v>5</v>
      </c>
    </row>
    <row r="478" spans="1:11" x14ac:dyDescent="0.25">
      <c r="A478" s="39" t="s">
        <v>804</v>
      </c>
      <c r="B478" s="46" t="s">
        <v>271</v>
      </c>
      <c r="C478" s="39" t="s">
        <v>767</v>
      </c>
      <c r="D478" s="142">
        <v>995552930</v>
      </c>
      <c r="E478" s="39" t="s">
        <v>247</v>
      </c>
      <c r="F478" s="81">
        <v>34726</v>
      </c>
      <c r="G478" s="105" t="str">
        <f t="shared" si="14"/>
        <v>Jan</v>
      </c>
      <c r="H478" s="51">
        <f t="shared" ca="1" si="15"/>
        <v>21</v>
      </c>
      <c r="I478" s="52"/>
      <c r="J478" s="53">
        <v>33120</v>
      </c>
      <c r="K478" s="54">
        <v>2</v>
      </c>
    </row>
    <row r="479" spans="1:11" hidden="1" x14ac:dyDescent="0.25">
      <c r="A479" s="39" t="s">
        <v>850</v>
      </c>
      <c r="B479" s="46" t="s">
        <v>245</v>
      </c>
      <c r="C479" s="39" t="s">
        <v>767</v>
      </c>
      <c r="D479" s="142">
        <v>770043384</v>
      </c>
      <c r="E479" s="39" t="s">
        <v>256</v>
      </c>
      <c r="F479" s="81">
        <v>35094</v>
      </c>
      <c r="G479" s="105" t="str">
        <f t="shared" si="14"/>
        <v>Jan</v>
      </c>
      <c r="H479" s="51">
        <f t="shared" ca="1" si="15"/>
        <v>20</v>
      </c>
      <c r="I479" s="52" t="s">
        <v>262</v>
      </c>
      <c r="J479" s="53">
        <v>61148</v>
      </c>
      <c r="K479" s="54">
        <v>2</v>
      </c>
    </row>
    <row r="480" spans="1:11" hidden="1" x14ac:dyDescent="0.25">
      <c r="A480" s="39" t="s">
        <v>792</v>
      </c>
      <c r="B480" s="46" t="s">
        <v>245</v>
      </c>
      <c r="C480" s="39" t="s">
        <v>767</v>
      </c>
      <c r="D480" s="142">
        <v>769575078</v>
      </c>
      <c r="E480" s="39" t="s">
        <v>256</v>
      </c>
      <c r="F480" s="81">
        <v>35821</v>
      </c>
      <c r="G480" s="105" t="str">
        <f t="shared" si="14"/>
        <v>Jan</v>
      </c>
      <c r="H480" s="51">
        <f t="shared" ca="1" si="15"/>
        <v>18</v>
      </c>
      <c r="I480" s="52" t="s">
        <v>267</v>
      </c>
      <c r="J480" s="53">
        <v>22870</v>
      </c>
      <c r="K480" s="54">
        <v>3</v>
      </c>
    </row>
    <row r="481" spans="1:16" hidden="1" x14ac:dyDescent="0.25">
      <c r="A481" s="39" t="s">
        <v>803</v>
      </c>
      <c r="B481" s="46" t="s">
        <v>280</v>
      </c>
      <c r="C481" s="39" t="s">
        <v>767</v>
      </c>
      <c r="D481" s="142">
        <v>411582249</v>
      </c>
      <c r="E481" s="39" t="s">
        <v>261</v>
      </c>
      <c r="F481" s="81">
        <v>35826</v>
      </c>
      <c r="G481" s="105" t="str">
        <f t="shared" si="14"/>
        <v>Jan</v>
      </c>
      <c r="H481" s="51">
        <f t="shared" ca="1" si="15"/>
        <v>18</v>
      </c>
      <c r="I481" s="52" t="s">
        <v>257</v>
      </c>
      <c r="J481" s="53">
        <v>31205</v>
      </c>
      <c r="K481" s="54">
        <v>2</v>
      </c>
    </row>
    <row r="482" spans="1:16" x14ac:dyDescent="0.25">
      <c r="A482" s="39" t="s">
        <v>806</v>
      </c>
      <c r="B482" s="46" t="s">
        <v>271</v>
      </c>
      <c r="C482" s="39" t="s">
        <v>767</v>
      </c>
      <c r="D482" s="142">
        <v>597176358</v>
      </c>
      <c r="E482" s="39" t="s">
        <v>256</v>
      </c>
      <c r="F482" s="81">
        <v>36536</v>
      </c>
      <c r="G482" s="105" t="str">
        <f t="shared" si="14"/>
        <v>Jan</v>
      </c>
      <c r="H482" s="51">
        <f t="shared" ca="1" si="15"/>
        <v>16</v>
      </c>
      <c r="I482" s="52" t="s">
        <v>257</v>
      </c>
      <c r="J482" s="53">
        <v>62400</v>
      </c>
      <c r="K482" s="54">
        <v>4</v>
      </c>
    </row>
    <row r="483" spans="1:16" hidden="1" x14ac:dyDescent="0.25">
      <c r="A483" s="39" t="s">
        <v>811</v>
      </c>
      <c r="B483" s="46" t="s">
        <v>266</v>
      </c>
      <c r="C483" s="39" t="s">
        <v>767</v>
      </c>
      <c r="D483" s="142">
        <v>992259277</v>
      </c>
      <c r="E483" s="39" t="s">
        <v>261</v>
      </c>
      <c r="F483" s="81">
        <v>38723</v>
      </c>
      <c r="G483" s="105" t="str">
        <f t="shared" si="14"/>
        <v>Jan</v>
      </c>
      <c r="H483" s="51">
        <f t="shared" ca="1" si="15"/>
        <v>10</v>
      </c>
      <c r="I483" s="52" t="s">
        <v>283</v>
      </c>
      <c r="J483" s="53">
        <v>10630</v>
      </c>
      <c r="K483" s="54">
        <v>3</v>
      </c>
    </row>
    <row r="484" spans="1:16" hidden="1" x14ac:dyDescent="0.25">
      <c r="A484" s="39" t="s">
        <v>799</v>
      </c>
      <c r="B484" s="46" t="s">
        <v>245</v>
      </c>
      <c r="C484" s="39" t="s">
        <v>767</v>
      </c>
      <c r="D484" s="142">
        <v>502841158</v>
      </c>
      <c r="E484" s="39" t="s">
        <v>247</v>
      </c>
      <c r="F484" s="81">
        <v>33638</v>
      </c>
      <c r="G484" s="105" t="str">
        <f t="shared" si="14"/>
        <v>Feb</v>
      </c>
      <c r="H484" s="51">
        <f t="shared" ca="1" si="15"/>
        <v>24</v>
      </c>
      <c r="I484" s="52"/>
      <c r="J484" s="53">
        <v>47590</v>
      </c>
      <c r="K484" s="54">
        <v>3</v>
      </c>
    </row>
    <row r="485" spans="1:16" hidden="1" x14ac:dyDescent="0.25">
      <c r="A485" s="39" t="s">
        <v>793</v>
      </c>
      <c r="B485" s="46" t="s">
        <v>245</v>
      </c>
      <c r="C485" s="39" t="s">
        <v>767</v>
      </c>
      <c r="D485" s="142">
        <v>162101346</v>
      </c>
      <c r="E485" s="39" t="s">
        <v>247</v>
      </c>
      <c r="F485" s="81">
        <v>33658</v>
      </c>
      <c r="G485" s="105" t="str">
        <f t="shared" si="14"/>
        <v>Feb</v>
      </c>
      <c r="H485" s="51">
        <f t="shared" ca="1" si="15"/>
        <v>24</v>
      </c>
      <c r="I485" s="52"/>
      <c r="J485" s="53">
        <v>60550</v>
      </c>
      <c r="K485" s="54">
        <v>2</v>
      </c>
    </row>
    <row r="486" spans="1:16" x14ac:dyDescent="0.25">
      <c r="A486" s="39" t="s">
        <v>782</v>
      </c>
      <c r="B486" s="46" t="s">
        <v>271</v>
      </c>
      <c r="C486" s="39" t="s">
        <v>767</v>
      </c>
      <c r="D486" s="142">
        <v>430024398</v>
      </c>
      <c r="E486" s="39" t="s">
        <v>256</v>
      </c>
      <c r="F486" s="81">
        <v>36195</v>
      </c>
      <c r="G486" s="105" t="str">
        <f t="shared" si="14"/>
        <v>Feb</v>
      </c>
      <c r="H486" s="51">
        <f t="shared" ca="1" si="15"/>
        <v>17</v>
      </c>
      <c r="I486" s="52" t="s">
        <v>267</v>
      </c>
      <c r="J486" s="53">
        <v>46360</v>
      </c>
      <c r="K486" s="54">
        <v>5</v>
      </c>
    </row>
    <row r="487" spans="1:16" hidden="1" x14ac:dyDescent="0.25">
      <c r="A487" s="39" t="s">
        <v>818</v>
      </c>
      <c r="B487" s="46" t="s">
        <v>280</v>
      </c>
      <c r="C487" s="39" t="s">
        <v>767</v>
      </c>
      <c r="D487" s="142">
        <v>847045764</v>
      </c>
      <c r="E487" s="39" t="s">
        <v>261</v>
      </c>
      <c r="F487" s="81">
        <v>36217</v>
      </c>
      <c r="G487" s="105" t="str">
        <f t="shared" si="14"/>
        <v>Feb</v>
      </c>
      <c r="H487" s="51">
        <f t="shared" ca="1" si="15"/>
        <v>17</v>
      </c>
      <c r="I487" s="52" t="s">
        <v>283</v>
      </c>
      <c r="J487" s="53">
        <v>22475</v>
      </c>
      <c r="K487" s="54">
        <v>4</v>
      </c>
    </row>
    <row r="488" spans="1:16" hidden="1" x14ac:dyDescent="0.25">
      <c r="A488" s="39" t="s">
        <v>807</v>
      </c>
      <c r="B488" s="46" t="s">
        <v>285</v>
      </c>
      <c r="C488" s="39" t="s">
        <v>767</v>
      </c>
      <c r="D488" s="142">
        <v>412373847</v>
      </c>
      <c r="E488" s="39" t="s">
        <v>256</v>
      </c>
      <c r="F488" s="81">
        <v>39864</v>
      </c>
      <c r="G488" s="105" t="str">
        <f t="shared" si="14"/>
        <v>Feb</v>
      </c>
      <c r="H488" s="51">
        <f t="shared" ca="1" si="15"/>
        <v>7</v>
      </c>
      <c r="I488" s="52" t="s">
        <v>257</v>
      </c>
      <c r="J488" s="53">
        <v>64320</v>
      </c>
      <c r="K488" s="54">
        <v>5</v>
      </c>
    </row>
    <row r="489" spans="1:16" hidden="1" x14ac:dyDescent="0.25">
      <c r="A489" s="39" t="s">
        <v>809</v>
      </c>
      <c r="B489" s="46" t="s">
        <v>245</v>
      </c>
      <c r="C489" s="39" t="s">
        <v>767</v>
      </c>
      <c r="D489" s="142">
        <v>973367569</v>
      </c>
      <c r="E489" s="39" t="s">
        <v>261</v>
      </c>
      <c r="F489" s="81">
        <v>33671</v>
      </c>
      <c r="G489" s="105" t="str">
        <f t="shared" si="14"/>
        <v>Mar</v>
      </c>
      <c r="H489" s="51">
        <f t="shared" ca="1" si="15"/>
        <v>24</v>
      </c>
      <c r="I489" s="52" t="s">
        <v>257</v>
      </c>
      <c r="J489" s="53">
        <v>46380</v>
      </c>
      <c r="K489" s="54">
        <v>3</v>
      </c>
      <c r="O489" s="75"/>
      <c r="P489" s="75"/>
    </row>
    <row r="490" spans="1:16" hidden="1" x14ac:dyDescent="0.25">
      <c r="A490" s="39" t="s">
        <v>786</v>
      </c>
      <c r="B490" s="46" t="s">
        <v>285</v>
      </c>
      <c r="C490" s="39" t="s">
        <v>767</v>
      </c>
      <c r="D490" s="142">
        <v>368521669</v>
      </c>
      <c r="E490" s="39" t="s">
        <v>247</v>
      </c>
      <c r="F490" s="81">
        <v>35146</v>
      </c>
      <c r="G490" s="105" t="str">
        <f t="shared" si="14"/>
        <v>Mar</v>
      </c>
      <c r="H490" s="51">
        <f t="shared" ca="1" si="15"/>
        <v>20</v>
      </c>
      <c r="I490" s="52"/>
      <c r="J490" s="53">
        <v>73190</v>
      </c>
      <c r="K490" s="54">
        <v>1</v>
      </c>
    </row>
    <row r="491" spans="1:16" hidden="1" x14ac:dyDescent="0.25">
      <c r="A491" s="39" t="s">
        <v>773</v>
      </c>
      <c r="B491" s="46" t="s">
        <v>245</v>
      </c>
      <c r="C491" s="39" t="s">
        <v>767</v>
      </c>
      <c r="D491" s="142">
        <v>788970964</v>
      </c>
      <c r="E491" s="39" t="s">
        <v>256</v>
      </c>
      <c r="F491" s="81">
        <v>35151</v>
      </c>
      <c r="G491" s="105" t="str">
        <f t="shared" si="14"/>
        <v>Mar</v>
      </c>
      <c r="H491" s="51">
        <f t="shared" ca="1" si="15"/>
        <v>20</v>
      </c>
      <c r="I491" s="52" t="s">
        <v>276</v>
      </c>
      <c r="J491" s="53">
        <v>29760</v>
      </c>
      <c r="K491" s="54">
        <v>2</v>
      </c>
    </row>
    <row r="492" spans="1:16" hidden="1" x14ac:dyDescent="0.25">
      <c r="A492" s="39" t="s">
        <v>770</v>
      </c>
      <c r="B492" s="46" t="s">
        <v>285</v>
      </c>
      <c r="C492" s="39" t="s">
        <v>767</v>
      </c>
      <c r="D492" s="142">
        <v>775849338</v>
      </c>
      <c r="E492" s="39" t="s">
        <v>256</v>
      </c>
      <c r="F492" s="81">
        <v>37701</v>
      </c>
      <c r="G492" s="105" t="str">
        <f t="shared" si="14"/>
        <v>Mar</v>
      </c>
      <c r="H492" s="51">
        <f t="shared" ca="1" si="15"/>
        <v>13</v>
      </c>
      <c r="I492" s="52" t="s">
        <v>262</v>
      </c>
      <c r="J492" s="53">
        <v>23560</v>
      </c>
      <c r="K492" s="54">
        <v>3</v>
      </c>
    </row>
    <row r="493" spans="1:16" hidden="1" x14ac:dyDescent="0.25">
      <c r="A493" s="39" t="s">
        <v>848</v>
      </c>
      <c r="B493" s="46" t="s">
        <v>266</v>
      </c>
      <c r="C493" s="39" t="s">
        <v>767</v>
      </c>
      <c r="D493" s="142">
        <v>297130809</v>
      </c>
      <c r="E493" s="39" t="s">
        <v>256</v>
      </c>
      <c r="F493" s="81">
        <v>38423</v>
      </c>
      <c r="G493" s="105" t="str">
        <f t="shared" si="14"/>
        <v>Mar</v>
      </c>
      <c r="H493" s="51">
        <f t="shared" ca="1" si="15"/>
        <v>11</v>
      </c>
      <c r="I493" s="52" t="s">
        <v>276</v>
      </c>
      <c r="J493" s="53">
        <v>61330</v>
      </c>
      <c r="K493" s="54">
        <v>2</v>
      </c>
    </row>
    <row r="494" spans="1:16" hidden="1" x14ac:dyDescent="0.25">
      <c r="A494" s="39" t="s">
        <v>800</v>
      </c>
      <c r="B494" s="46" t="s">
        <v>266</v>
      </c>
      <c r="C494" s="39" t="s">
        <v>767</v>
      </c>
      <c r="D494" s="142">
        <v>536780700</v>
      </c>
      <c r="E494" s="39" t="s">
        <v>256</v>
      </c>
      <c r="F494" s="81">
        <v>38790</v>
      </c>
      <c r="G494" s="105" t="str">
        <f t="shared" si="14"/>
        <v>Mar</v>
      </c>
      <c r="H494" s="51">
        <f t="shared" ca="1" si="15"/>
        <v>10</v>
      </c>
      <c r="I494" s="52" t="s">
        <v>262</v>
      </c>
      <c r="J494" s="53">
        <v>62688</v>
      </c>
      <c r="K494" s="54">
        <v>3</v>
      </c>
    </row>
    <row r="495" spans="1:16" hidden="1" x14ac:dyDescent="0.25">
      <c r="A495" s="39" t="s">
        <v>785</v>
      </c>
      <c r="B495" s="46" t="s">
        <v>245</v>
      </c>
      <c r="C495" s="39" t="s">
        <v>767</v>
      </c>
      <c r="D495" s="142">
        <v>198202323</v>
      </c>
      <c r="E495" s="39" t="s">
        <v>256</v>
      </c>
      <c r="F495" s="81">
        <v>39899</v>
      </c>
      <c r="G495" s="105" t="str">
        <f t="shared" si="14"/>
        <v>Mar</v>
      </c>
      <c r="H495" s="51">
        <f t="shared" ca="1" si="15"/>
        <v>7</v>
      </c>
      <c r="I495" s="52" t="s">
        <v>257</v>
      </c>
      <c r="J495" s="53">
        <v>24790</v>
      </c>
      <c r="K495" s="54">
        <v>3</v>
      </c>
    </row>
    <row r="496" spans="1:16" hidden="1" x14ac:dyDescent="0.25">
      <c r="A496" s="39" t="s">
        <v>834</v>
      </c>
      <c r="B496" s="46" t="s">
        <v>251</v>
      </c>
      <c r="C496" s="39" t="s">
        <v>767</v>
      </c>
      <c r="D496" s="142">
        <v>995735344</v>
      </c>
      <c r="E496" s="39" t="s">
        <v>261</v>
      </c>
      <c r="F496" s="103">
        <v>40254</v>
      </c>
      <c r="G496" s="105" t="str">
        <f t="shared" si="14"/>
        <v>Mar</v>
      </c>
      <c r="H496" s="51">
        <f t="shared" ca="1" si="15"/>
        <v>6</v>
      </c>
      <c r="I496" s="52" t="s">
        <v>283</v>
      </c>
      <c r="J496" s="53">
        <v>48700</v>
      </c>
      <c r="K496" s="54">
        <v>3</v>
      </c>
    </row>
    <row r="497" spans="1:16" x14ac:dyDescent="0.25">
      <c r="A497" s="39" t="s">
        <v>777</v>
      </c>
      <c r="B497" s="46" t="s">
        <v>271</v>
      </c>
      <c r="C497" s="39" t="s">
        <v>767</v>
      </c>
      <c r="D497" s="142">
        <v>161660789</v>
      </c>
      <c r="E497" s="39" t="s">
        <v>256</v>
      </c>
      <c r="F497" s="81">
        <v>40624</v>
      </c>
      <c r="G497" s="105" t="str">
        <f t="shared" si="14"/>
        <v>Mar</v>
      </c>
      <c r="H497" s="51">
        <f t="shared" ca="1" si="15"/>
        <v>5</v>
      </c>
      <c r="I497" s="52" t="s">
        <v>276</v>
      </c>
      <c r="J497" s="53">
        <v>86500</v>
      </c>
      <c r="K497" s="54">
        <v>1</v>
      </c>
    </row>
    <row r="498" spans="1:16" x14ac:dyDescent="0.25">
      <c r="A498" s="39" t="s">
        <v>772</v>
      </c>
      <c r="B498" s="46" t="s">
        <v>271</v>
      </c>
      <c r="C498" s="39" t="s">
        <v>767</v>
      </c>
      <c r="D498" s="142">
        <v>694172844</v>
      </c>
      <c r="E498" s="39" t="s">
        <v>256</v>
      </c>
      <c r="F498" s="81">
        <v>34061</v>
      </c>
      <c r="G498" s="105" t="str">
        <f t="shared" si="14"/>
        <v>Apr</v>
      </c>
      <c r="H498" s="51">
        <f t="shared" ca="1" si="15"/>
        <v>23</v>
      </c>
      <c r="I498" s="52" t="s">
        <v>257</v>
      </c>
      <c r="J498" s="53">
        <v>23320</v>
      </c>
      <c r="K498" s="54">
        <v>4</v>
      </c>
      <c r="O498" s="75"/>
      <c r="P498" s="75"/>
    </row>
    <row r="499" spans="1:16" hidden="1" x14ac:dyDescent="0.25">
      <c r="A499" s="39" t="s">
        <v>831</v>
      </c>
      <c r="B499" s="46" t="s">
        <v>245</v>
      </c>
      <c r="C499" s="39" t="s">
        <v>767</v>
      </c>
      <c r="D499" s="142">
        <v>817751158</v>
      </c>
      <c r="E499" s="39" t="s">
        <v>261</v>
      </c>
      <c r="F499" s="81">
        <v>34793</v>
      </c>
      <c r="G499" s="105" t="str">
        <f t="shared" si="14"/>
        <v>Apr</v>
      </c>
      <c r="H499" s="51">
        <f t="shared" ca="1" si="15"/>
        <v>21</v>
      </c>
      <c r="I499" s="52" t="s">
        <v>283</v>
      </c>
      <c r="J499" s="53">
        <v>10700</v>
      </c>
      <c r="K499" s="54">
        <v>4</v>
      </c>
    </row>
    <row r="500" spans="1:16" hidden="1" x14ac:dyDescent="0.25">
      <c r="A500" s="39" t="s">
        <v>827</v>
      </c>
      <c r="B500" s="46" t="s">
        <v>285</v>
      </c>
      <c r="C500" s="39" t="s">
        <v>767</v>
      </c>
      <c r="D500" s="142">
        <v>934364801</v>
      </c>
      <c r="E500" s="39" t="s">
        <v>256</v>
      </c>
      <c r="F500" s="81">
        <v>35169</v>
      </c>
      <c r="G500" s="105" t="str">
        <f t="shared" si="14"/>
        <v>Apr</v>
      </c>
      <c r="H500" s="51">
        <f t="shared" ca="1" si="15"/>
        <v>20</v>
      </c>
      <c r="I500" s="52" t="s">
        <v>276</v>
      </c>
      <c r="J500" s="53">
        <v>72640</v>
      </c>
      <c r="K500" s="54">
        <v>3</v>
      </c>
    </row>
    <row r="501" spans="1:16" hidden="1" x14ac:dyDescent="0.25">
      <c r="A501" s="39" t="s">
        <v>797</v>
      </c>
      <c r="B501" s="46" t="s">
        <v>285</v>
      </c>
      <c r="C501" s="39" t="s">
        <v>767</v>
      </c>
      <c r="D501" s="142">
        <v>246219020</v>
      </c>
      <c r="E501" s="39" t="s">
        <v>256</v>
      </c>
      <c r="F501" s="81">
        <v>35528</v>
      </c>
      <c r="G501" s="105" t="str">
        <f t="shared" si="14"/>
        <v>Apr</v>
      </c>
      <c r="H501" s="51">
        <f t="shared" ca="1" si="15"/>
        <v>19</v>
      </c>
      <c r="I501" s="52" t="s">
        <v>257</v>
      </c>
      <c r="J501" s="53">
        <v>63270</v>
      </c>
      <c r="K501" s="54">
        <v>1</v>
      </c>
    </row>
    <row r="502" spans="1:16" hidden="1" x14ac:dyDescent="0.25">
      <c r="A502" s="39" t="s">
        <v>798</v>
      </c>
      <c r="B502" s="46" t="s">
        <v>245</v>
      </c>
      <c r="C502" s="39" t="s">
        <v>767</v>
      </c>
      <c r="D502" s="142">
        <v>646419304</v>
      </c>
      <c r="E502" s="39" t="s">
        <v>247</v>
      </c>
      <c r="F502" s="81">
        <v>35541</v>
      </c>
      <c r="G502" s="105" t="str">
        <f t="shared" si="14"/>
        <v>Apr</v>
      </c>
      <c r="H502" s="51">
        <f t="shared" ca="1" si="15"/>
        <v>19</v>
      </c>
      <c r="I502" s="52"/>
      <c r="J502" s="53">
        <v>49530</v>
      </c>
      <c r="K502" s="54">
        <v>4</v>
      </c>
    </row>
    <row r="503" spans="1:16" hidden="1" x14ac:dyDescent="0.25">
      <c r="A503" s="39" t="s">
        <v>790</v>
      </c>
      <c r="B503" s="46" t="s">
        <v>266</v>
      </c>
      <c r="C503" s="39" t="s">
        <v>767</v>
      </c>
      <c r="D503" s="142">
        <v>421152382</v>
      </c>
      <c r="E503" s="39" t="s">
        <v>261</v>
      </c>
      <c r="F503" s="81">
        <v>40293</v>
      </c>
      <c r="G503" s="105" t="str">
        <f t="shared" si="14"/>
        <v>Apr</v>
      </c>
      <c r="H503" s="51">
        <f t="shared" ca="1" si="15"/>
        <v>6</v>
      </c>
      <c r="I503" s="52" t="s">
        <v>257</v>
      </c>
      <c r="J503" s="53">
        <v>11810</v>
      </c>
      <c r="K503" s="54">
        <v>1</v>
      </c>
    </row>
    <row r="504" spans="1:16" x14ac:dyDescent="0.25">
      <c r="A504" s="39" t="s">
        <v>822</v>
      </c>
      <c r="B504" s="46" t="s">
        <v>271</v>
      </c>
      <c r="C504" s="39" t="s">
        <v>767</v>
      </c>
      <c r="D504" s="142">
        <v>120299883</v>
      </c>
      <c r="E504" s="39" t="s">
        <v>256</v>
      </c>
      <c r="F504" s="81">
        <v>33361</v>
      </c>
      <c r="G504" s="105" t="str">
        <f t="shared" si="14"/>
        <v>May</v>
      </c>
      <c r="H504" s="51">
        <f t="shared" ca="1" si="15"/>
        <v>25</v>
      </c>
      <c r="I504" s="52" t="s">
        <v>257</v>
      </c>
      <c r="J504" s="53">
        <v>24090</v>
      </c>
      <c r="K504" s="54">
        <v>4</v>
      </c>
    </row>
    <row r="505" spans="1:16" x14ac:dyDescent="0.25">
      <c r="A505" s="39" t="s">
        <v>837</v>
      </c>
      <c r="B505" s="46" t="s">
        <v>271</v>
      </c>
      <c r="C505" s="39" t="s">
        <v>767</v>
      </c>
      <c r="D505" s="142">
        <v>275575749</v>
      </c>
      <c r="E505" s="39" t="s">
        <v>247</v>
      </c>
      <c r="F505" s="81">
        <v>34478</v>
      </c>
      <c r="G505" s="105" t="str">
        <f t="shared" si="14"/>
        <v>May</v>
      </c>
      <c r="H505" s="51">
        <f t="shared" ca="1" si="15"/>
        <v>22</v>
      </c>
      <c r="I505" s="52"/>
      <c r="J505" s="53">
        <v>56650</v>
      </c>
      <c r="K505" s="54">
        <v>1</v>
      </c>
    </row>
    <row r="506" spans="1:16" hidden="1" x14ac:dyDescent="0.25">
      <c r="A506" s="39" t="s">
        <v>815</v>
      </c>
      <c r="B506" s="46" t="s">
        <v>251</v>
      </c>
      <c r="C506" s="39" t="s">
        <v>767</v>
      </c>
      <c r="D506" s="142">
        <v>830158236</v>
      </c>
      <c r="E506" s="39" t="s">
        <v>256</v>
      </c>
      <c r="F506" s="81">
        <v>35918</v>
      </c>
      <c r="G506" s="105" t="str">
        <f t="shared" si="14"/>
        <v>May</v>
      </c>
      <c r="H506" s="51">
        <f t="shared" ca="1" si="15"/>
        <v>18</v>
      </c>
      <c r="I506" s="52" t="s">
        <v>262</v>
      </c>
      <c r="J506" s="53">
        <v>73740</v>
      </c>
      <c r="K506" s="54">
        <v>4</v>
      </c>
    </row>
    <row r="507" spans="1:16" hidden="1" x14ac:dyDescent="0.25">
      <c r="A507" s="39" t="s">
        <v>775</v>
      </c>
      <c r="B507" s="46" t="s">
        <v>245</v>
      </c>
      <c r="C507" s="39" t="s">
        <v>767</v>
      </c>
      <c r="D507" s="142">
        <v>648408725</v>
      </c>
      <c r="E507" s="39" t="s">
        <v>252</v>
      </c>
      <c r="F507" s="81">
        <v>35946</v>
      </c>
      <c r="G507" s="105" t="str">
        <f t="shared" si="14"/>
        <v>May</v>
      </c>
      <c r="H507" s="51">
        <f t="shared" ca="1" si="15"/>
        <v>18</v>
      </c>
      <c r="I507" s="52"/>
      <c r="J507" s="53">
        <v>14332</v>
      </c>
      <c r="K507" s="54">
        <v>5</v>
      </c>
    </row>
    <row r="508" spans="1:16" x14ac:dyDescent="0.25">
      <c r="A508" s="39" t="s">
        <v>840</v>
      </c>
      <c r="B508" s="46" t="s">
        <v>271</v>
      </c>
      <c r="C508" s="39" t="s">
        <v>767</v>
      </c>
      <c r="D508" s="142">
        <v>533490834</v>
      </c>
      <c r="E508" s="39" t="s">
        <v>247</v>
      </c>
      <c r="F508" s="81">
        <v>36297</v>
      </c>
      <c r="G508" s="105" t="str">
        <f t="shared" si="14"/>
        <v>May</v>
      </c>
      <c r="H508" s="51">
        <f t="shared" ca="1" si="15"/>
        <v>17</v>
      </c>
      <c r="I508" s="52"/>
      <c r="J508" s="53">
        <v>57990</v>
      </c>
      <c r="K508" s="54">
        <v>5</v>
      </c>
    </row>
    <row r="509" spans="1:16" x14ac:dyDescent="0.25">
      <c r="A509" s="39" t="s">
        <v>835</v>
      </c>
      <c r="B509" s="46" t="s">
        <v>271</v>
      </c>
      <c r="C509" s="39" t="s">
        <v>767</v>
      </c>
      <c r="D509" s="142">
        <v>600754807</v>
      </c>
      <c r="E509" s="39" t="s">
        <v>256</v>
      </c>
      <c r="F509" s="81">
        <v>36673</v>
      </c>
      <c r="G509" s="105" t="str">
        <f t="shared" si="14"/>
        <v>May</v>
      </c>
      <c r="H509" s="51">
        <f t="shared" ca="1" si="15"/>
        <v>16</v>
      </c>
      <c r="I509" s="52" t="s">
        <v>276</v>
      </c>
      <c r="J509" s="53">
        <v>48330</v>
      </c>
      <c r="K509" s="54">
        <v>1</v>
      </c>
    </row>
    <row r="510" spans="1:16" x14ac:dyDescent="0.25">
      <c r="A510" s="39" t="s">
        <v>843</v>
      </c>
      <c r="B510" s="46" t="s">
        <v>271</v>
      </c>
      <c r="C510" s="39" t="s">
        <v>767</v>
      </c>
      <c r="D510" s="142">
        <v>976680380</v>
      </c>
      <c r="E510" s="39" t="s">
        <v>247</v>
      </c>
      <c r="F510" s="81">
        <v>37404</v>
      </c>
      <c r="G510" s="105" t="str">
        <f t="shared" si="14"/>
        <v>May</v>
      </c>
      <c r="H510" s="51">
        <f t="shared" ca="1" si="15"/>
        <v>14</v>
      </c>
      <c r="I510" s="52"/>
      <c r="J510" s="53">
        <v>60070</v>
      </c>
      <c r="K510" s="54">
        <v>3</v>
      </c>
    </row>
    <row r="511" spans="1:16" hidden="1" x14ac:dyDescent="0.25">
      <c r="A511" s="39" t="s">
        <v>838</v>
      </c>
      <c r="B511" s="46" t="s">
        <v>266</v>
      </c>
      <c r="C511" s="39" t="s">
        <v>767</v>
      </c>
      <c r="D511" s="142">
        <v>549812811</v>
      </c>
      <c r="E511" s="39" t="s">
        <v>256</v>
      </c>
      <c r="F511" s="81">
        <v>39217</v>
      </c>
      <c r="G511" s="105" t="str">
        <f t="shared" si="14"/>
        <v>May</v>
      </c>
      <c r="H511" s="51">
        <f t="shared" ca="1" si="15"/>
        <v>9</v>
      </c>
      <c r="I511" s="52" t="s">
        <v>257</v>
      </c>
      <c r="J511" s="53">
        <v>73830</v>
      </c>
      <c r="K511" s="54">
        <v>2</v>
      </c>
    </row>
    <row r="512" spans="1:16" x14ac:dyDescent="0.25">
      <c r="A512" s="39" t="s">
        <v>832</v>
      </c>
      <c r="B512" s="46" t="s">
        <v>271</v>
      </c>
      <c r="C512" s="39" t="s">
        <v>767</v>
      </c>
      <c r="D512" s="142">
        <v>392553049</v>
      </c>
      <c r="E512" s="39" t="s">
        <v>247</v>
      </c>
      <c r="F512" s="81">
        <v>33402</v>
      </c>
      <c r="G512" s="105" t="str">
        <f t="shared" si="14"/>
        <v>Jun</v>
      </c>
      <c r="H512" s="51">
        <f t="shared" ca="1" si="15"/>
        <v>25</v>
      </c>
      <c r="I512" s="52"/>
      <c r="J512" s="53">
        <v>79380</v>
      </c>
      <c r="K512" s="54">
        <v>1</v>
      </c>
    </row>
    <row r="513" spans="1:11" hidden="1" x14ac:dyDescent="0.25">
      <c r="A513" s="39" t="s">
        <v>779</v>
      </c>
      <c r="B513" s="46" t="s">
        <v>285</v>
      </c>
      <c r="C513" s="39" t="s">
        <v>767</v>
      </c>
      <c r="D513" s="142">
        <v>633745603</v>
      </c>
      <c r="E513" s="39" t="s">
        <v>256</v>
      </c>
      <c r="F513" s="81">
        <v>34149</v>
      </c>
      <c r="G513" s="105" t="str">
        <f t="shared" si="14"/>
        <v>Jun</v>
      </c>
      <c r="H513" s="51">
        <f t="shared" ca="1" si="15"/>
        <v>23</v>
      </c>
      <c r="I513" s="52" t="s">
        <v>276</v>
      </c>
      <c r="J513" s="53">
        <v>63440</v>
      </c>
      <c r="K513" s="54">
        <v>3</v>
      </c>
    </row>
    <row r="514" spans="1:11" x14ac:dyDescent="0.25">
      <c r="A514" s="39" t="s">
        <v>774</v>
      </c>
      <c r="B514" s="46" t="s">
        <v>271</v>
      </c>
      <c r="C514" s="39" t="s">
        <v>767</v>
      </c>
      <c r="D514" s="142">
        <v>146219035</v>
      </c>
      <c r="E514" s="39" t="s">
        <v>256</v>
      </c>
      <c r="F514" s="81">
        <v>35219</v>
      </c>
      <c r="G514" s="105" t="str">
        <f t="shared" ref="G514:G577" si="16">CHOOSE(MONTH(F514),"Jan","Feb","Mar","Apr","May","Jun","Jul","Aug","Sep","Oct","Nov","Dec")</f>
        <v>Jun</v>
      </c>
      <c r="H514" s="51">
        <f t="shared" ref="H514:H577" ca="1" si="17">DATEDIF(F514,TODAY(),"Y")</f>
        <v>20</v>
      </c>
      <c r="I514" s="52" t="s">
        <v>257</v>
      </c>
      <c r="J514" s="53">
        <v>47340</v>
      </c>
      <c r="K514" s="54">
        <v>2</v>
      </c>
    </row>
    <row r="515" spans="1:11" hidden="1" x14ac:dyDescent="0.25">
      <c r="A515" s="39" t="s">
        <v>814</v>
      </c>
      <c r="B515" s="46" t="s">
        <v>285</v>
      </c>
      <c r="C515" s="39" t="s">
        <v>767</v>
      </c>
      <c r="D515" s="142">
        <v>635311911</v>
      </c>
      <c r="E515" s="39" t="s">
        <v>256</v>
      </c>
      <c r="F515" s="81">
        <v>35958</v>
      </c>
      <c r="G515" s="105" t="str">
        <f t="shared" si="16"/>
        <v>Jun</v>
      </c>
      <c r="H515" s="51">
        <f t="shared" ca="1" si="17"/>
        <v>18</v>
      </c>
      <c r="I515" s="52" t="s">
        <v>283</v>
      </c>
      <c r="J515" s="53">
        <v>61420</v>
      </c>
      <c r="K515" s="54">
        <v>4</v>
      </c>
    </row>
    <row r="516" spans="1:11" hidden="1" x14ac:dyDescent="0.25">
      <c r="A516" s="39" t="s">
        <v>820</v>
      </c>
      <c r="B516" s="46" t="s">
        <v>285</v>
      </c>
      <c r="C516" s="39" t="s">
        <v>767</v>
      </c>
      <c r="D516" s="142">
        <v>969890063</v>
      </c>
      <c r="E516" s="39" t="s">
        <v>252</v>
      </c>
      <c r="F516" s="81">
        <v>36340</v>
      </c>
      <c r="G516" s="105" t="str">
        <f t="shared" si="16"/>
        <v>Jun</v>
      </c>
      <c r="H516" s="51">
        <f t="shared" ca="1" si="17"/>
        <v>17</v>
      </c>
      <c r="I516" s="52"/>
      <c r="J516" s="53">
        <v>37016</v>
      </c>
      <c r="K516" s="54">
        <v>4</v>
      </c>
    </row>
    <row r="517" spans="1:11" x14ac:dyDescent="0.25">
      <c r="A517" s="39" t="s">
        <v>819</v>
      </c>
      <c r="B517" s="46" t="s">
        <v>271</v>
      </c>
      <c r="C517" s="39" t="s">
        <v>767</v>
      </c>
      <c r="D517" s="142">
        <v>149369079</v>
      </c>
      <c r="E517" s="39" t="s">
        <v>256</v>
      </c>
      <c r="F517" s="81">
        <v>34169</v>
      </c>
      <c r="G517" s="105" t="str">
        <f t="shared" si="16"/>
        <v>Jul</v>
      </c>
      <c r="H517" s="51">
        <f t="shared" ca="1" si="17"/>
        <v>23</v>
      </c>
      <c r="I517" s="52" t="s">
        <v>267</v>
      </c>
      <c r="J517" s="53">
        <v>69420</v>
      </c>
      <c r="K517" s="54">
        <v>2</v>
      </c>
    </row>
    <row r="518" spans="1:11" hidden="1" x14ac:dyDescent="0.25">
      <c r="A518" s="39" t="s">
        <v>805</v>
      </c>
      <c r="B518" s="46" t="s">
        <v>285</v>
      </c>
      <c r="C518" s="39" t="s">
        <v>767</v>
      </c>
      <c r="D518" s="142">
        <v>795407799</v>
      </c>
      <c r="E518" s="39" t="s">
        <v>256</v>
      </c>
      <c r="F518" s="81">
        <v>35616</v>
      </c>
      <c r="G518" s="105" t="str">
        <f t="shared" si="16"/>
        <v>Jul</v>
      </c>
      <c r="H518" s="51">
        <f t="shared" ca="1" si="17"/>
        <v>19</v>
      </c>
      <c r="I518" s="52" t="s">
        <v>283</v>
      </c>
      <c r="J518" s="53">
        <v>34060</v>
      </c>
      <c r="K518" s="54">
        <v>2</v>
      </c>
    </row>
    <row r="519" spans="1:11" x14ac:dyDescent="0.25">
      <c r="A519" s="39" t="s">
        <v>828</v>
      </c>
      <c r="B519" s="46" t="s">
        <v>271</v>
      </c>
      <c r="C519" s="39" t="s">
        <v>767</v>
      </c>
      <c r="D519" s="142">
        <v>127900790</v>
      </c>
      <c r="E519" s="39" t="s">
        <v>256</v>
      </c>
      <c r="F519" s="81">
        <v>35990</v>
      </c>
      <c r="G519" s="105" t="str">
        <f t="shared" si="16"/>
        <v>Jul</v>
      </c>
      <c r="H519" s="51">
        <f t="shared" ca="1" si="17"/>
        <v>18</v>
      </c>
      <c r="I519" s="52" t="s">
        <v>276</v>
      </c>
      <c r="J519" s="53">
        <v>36890</v>
      </c>
      <c r="K519" s="54">
        <v>1</v>
      </c>
    </row>
    <row r="520" spans="1:11" hidden="1" x14ac:dyDescent="0.25">
      <c r="A520" s="39" t="s">
        <v>833</v>
      </c>
      <c r="B520" s="46" t="s">
        <v>285</v>
      </c>
      <c r="C520" s="39" t="s">
        <v>767</v>
      </c>
      <c r="D520" s="142">
        <v>664132048</v>
      </c>
      <c r="E520" s="39" t="s">
        <v>261</v>
      </c>
      <c r="F520" s="108">
        <v>38173</v>
      </c>
      <c r="G520" s="105" t="str">
        <f t="shared" si="16"/>
        <v>Jul</v>
      </c>
      <c r="H520" s="51">
        <f t="shared" ca="1" si="17"/>
        <v>12</v>
      </c>
      <c r="I520" s="52" t="s">
        <v>283</v>
      </c>
      <c r="J520" s="53">
        <v>32900</v>
      </c>
      <c r="K520" s="54">
        <v>2</v>
      </c>
    </row>
    <row r="521" spans="1:11" x14ac:dyDescent="0.25">
      <c r="A521" s="39" t="s">
        <v>847</v>
      </c>
      <c r="B521" s="46" t="s">
        <v>271</v>
      </c>
      <c r="C521" s="39" t="s">
        <v>767</v>
      </c>
      <c r="D521" s="142">
        <v>115508570</v>
      </c>
      <c r="E521" s="39" t="s">
        <v>256</v>
      </c>
      <c r="F521" s="81">
        <v>33098</v>
      </c>
      <c r="G521" s="105" t="str">
        <f t="shared" si="16"/>
        <v>Aug</v>
      </c>
      <c r="H521" s="51">
        <f t="shared" ca="1" si="17"/>
        <v>26</v>
      </c>
      <c r="I521" s="52" t="s">
        <v>257</v>
      </c>
      <c r="J521" s="53">
        <v>48080</v>
      </c>
      <c r="K521" s="54">
        <v>2</v>
      </c>
    </row>
    <row r="522" spans="1:11" x14ac:dyDescent="0.25">
      <c r="A522" s="39" t="s">
        <v>852</v>
      </c>
      <c r="B522" s="46" t="s">
        <v>271</v>
      </c>
      <c r="C522" s="39" t="s">
        <v>767</v>
      </c>
      <c r="D522" s="142">
        <v>300145210</v>
      </c>
      <c r="E522" s="39" t="s">
        <v>256</v>
      </c>
      <c r="F522" s="81">
        <v>33460</v>
      </c>
      <c r="G522" s="105" t="str">
        <f t="shared" si="16"/>
        <v>Aug</v>
      </c>
      <c r="H522" s="51">
        <f t="shared" ca="1" si="17"/>
        <v>25</v>
      </c>
      <c r="I522" s="52" t="s">
        <v>267</v>
      </c>
      <c r="J522" s="53">
        <v>77740</v>
      </c>
      <c r="K522" s="54">
        <v>1</v>
      </c>
    </row>
    <row r="523" spans="1:11" hidden="1" x14ac:dyDescent="0.25">
      <c r="A523" s="39" t="s">
        <v>802</v>
      </c>
      <c r="B523" s="46" t="s">
        <v>280</v>
      </c>
      <c r="C523" s="39" t="s">
        <v>767</v>
      </c>
      <c r="D523" s="142">
        <v>404037729</v>
      </c>
      <c r="E523" s="39" t="s">
        <v>247</v>
      </c>
      <c r="F523" s="81">
        <v>34915</v>
      </c>
      <c r="G523" s="105" t="str">
        <f t="shared" si="16"/>
        <v>Aug</v>
      </c>
      <c r="H523" s="51">
        <f t="shared" ca="1" si="17"/>
        <v>21</v>
      </c>
      <c r="I523" s="52"/>
      <c r="J523" s="53">
        <v>76870</v>
      </c>
      <c r="K523" s="54">
        <v>5</v>
      </c>
    </row>
    <row r="524" spans="1:11" hidden="1" x14ac:dyDescent="0.25">
      <c r="A524" s="39" t="s">
        <v>829</v>
      </c>
      <c r="B524" s="46" t="s">
        <v>245</v>
      </c>
      <c r="C524" s="39" t="s">
        <v>767</v>
      </c>
      <c r="D524" s="142">
        <v>593629633</v>
      </c>
      <c r="E524" s="39" t="s">
        <v>256</v>
      </c>
      <c r="F524" s="81">
        <v>35286</v>
      </c>
      <c r="G524" s="105" t="str">
        <f t="shared" si="16"/>
        <v>Aug</v>
      </c>
      <c r="H524" s="51">
        <f t="shared" ca="1" si="17"/>
        <v>20</v>
      </c>
      <c r="I524" s="52" t="s">
        <v>262</v>
      </c>
      <c r="J524" s="53">
        <v>72700</v>
      </c>
      <c r="K524" s="54">
        <v>5</v>
      </c>
    </row>
    <row r="525" spans="1:11" hidden="1" x14ac:dyDescent="0.25">
      <c r="A525" s="39" t="s">
        <v>824</v>
      </c>
      <c r="B525" s="46" t="s">
        <v>285</v>
      </c>
      <c r="C525" s="39" t="s">
        <v>767</v>
      </c>
      <c r="D525" s="142">
        <v>122002550</v>
      </c>
      <c r="E525" s="39" t="s">
        <v>247</v>
      </c>
      <c r="F525" s="81">
        <v>35301</v>
      </c>
      <c r="G525" s="105" t="str">
        <f t="shared" si="16"/>
        <v>Aug</v>
      </c>
      <c r="H525" s="51">
        <f t="shared" ca="1" si="17"/>
        <v>20</v>
      </c>
      <c r="I525" s="52"/>
      <c r="J525" s="53">
        <v>60070</v>
      </c>
      <c r="K525" s="54">
        <v>2</v>
      </c>
    </row>
    <row r="526" spans="1:11" hidden="1" x14ac:dyDescent="0.25">
      <c r="A526" s="39" t="s">
        <v>768</v>
      </c>
      <c r="B526" s="46" t="s">
        <v>285</v>
      </c>
      <c r="C526" s="39" t="s">
        <v>767</v>
      </c>
      <c r="D526" s="142">
        <v>151309164</v>
      </c>
      <c r="E526" s="39" t="s">
        <v>252</v>
      </c>
      <c r="F526" s="81">
        <v>36028</v>
      </c>
      <c r="G526" s="105" t="str">
        <f t="shared" si="16"/>
        <v>Aug</v>
      </c>
      <c r="H526" s="51">
        <f t="shared" ca="1" si="17"/>
        <v>18</v>
      </c>
      <c r="I526" s="52"/>
      <c r="J526" s="53">
        <v>16688</v>
      </c>
      <c r="K526" s="54">
        <v>3</v>
      </c>
    </row>
    <row r="527" spans="1:11" hidden="1" x14ac:dyDescent="0.25">
      <c r="A527" s="39" t="s">
        <v>766</v>
      </c>
      <c r="B527" s="46" t="s">
        <v>266</v>
      </c>
      <c r="C527" s="39" t="s">
        <v>767</v>
      </c>
      <c r="D527" s="142">
        <v>157620143</v>
      </c>
      <c r="E527" s="39" t="s">
        <v>247</v>
      </c>
      <c r="F527" s="81">
        <v>36375</v>
      </c>
      <c r="G527" s="105" t="str">
        <f t="shared" si="16"/>
        <v>Aug</v>
      </c>
      <c r="H527" s="51">
        <f t="shared" ca="1" si="17"/>
        <v>17</v>
      </c>
      <c r="I527" s="52"/>
      <c r="J527" s="53">
        <v>71300</v>
      </c>
      <c r="K527" s="54">
        <v>5</v>
      </c>
    </row>
    <row r="528" spans="1:11" x14ac:dyDescent="0.25">
      <c r="A528" s="39" t="s">
        <v>812</v>
      </c>
      <c r="B528" s="46" t="s">
        <v>271</v>
      </c>
      <c r="C528" s="39" t="s">
        <v>767</v>
      </c>
      <c r="D528" s="142">
        <v>546895685</v>
      </c>
      <c r="E528" s="39" t="s">
        <v>252</v>
      </c>
      <c r="F528" s="81">
        <v>36380</v>
      </c>
      <c r="G528" s="105" t="str">
        <f t="shared" si="16"/>
        <v>Aug</v>
      </c>
      <c r="H528" s="51">
        <f t="shared" ca="1" si="17"/>
        <v>17</v>
      </c>
      <c r="I528" s="52"/>
      <c r="J528" s="53">
        <v>36052</v>
      </c>
      <c r="K528" s="54">
        <v>5</v>
      </c>
    </row>
    <row r="529" spans="1:11" x14ac:dyDescent="0.25">
      <c r="A529" s="39" t="s">
        <v>842</v>
      </c>
      <c r="B529" s="46" t="s">
        <v>271</v>
      </c>
      <c r="C529" s="39" t="s">
        <v>767</v>
      </c>
      <c r="D529" s="142">
        <v>745258163</v>
      </c>
      <c r="E529" s="39" t="s">
        <v>256</v>
      </c>
      <c r="F529" s="81">
        <v>36393</v>
      </c>
      <c r="G529" s="105" t="str">
        <f t="shared" si="16"/>
        <v>Aug</v>
      </c>
      <c r="H529" s="51">
        <f t="shared" ca="1" si="17"/>
        <v>17</v>
      </c>
      <c r="I529" s="52" t="s">
        <v>283</v>
      </c>
      <c r="J529" s="53">
        <v>65910</v>
      </c>
      <c r="K529" s="54">
        <v>5</v>
      </c>
    </row>
    <row r="530" spans="1:11" hidden="1" x14ac:dyDescent="0.25">
      <c r="A530" s="39" t="s">
        <v>821</v>
      </c>
      <c r="B530" s="46" t="s">
        <v>280</v>
      </c>
      <c r="C530" s="39" t="s">
        <v>767</v>
      </c>
      <c r="D530" s="142">
        <v>375712687</v>
      </c>
      <c r="E530" s="39" t="s">
        <v>256</v>
      </c>
      <c r="F530" s="81">
        <v>37848</v>
      </c>
      <c r="G530" s="105" t="str">
        <f t="shared" si="16"/>
        <v>Aug</v>
      </c>
      <c r="H530" s="51">
        <f t="shared" ca="1" si="17"/>
        <v>13</v>
      </c>
      <c r="I530" s="52" t="s">
        <v>262</v>
      </c>
      <c r="J530" s="53">
        <v>76910</v>
      </c>
      <c r="K530" s="54">
        <v>2</v>
      </c>
    </row>
    <row r="531" spans="1:11" x14ac:dyDescent="0.25">
      <c r="A531" s="39" t="s">
        <v>851</v>
      </c>
      <c r="B531" s="46" t="s">
        <v>271</v>
      </c>
      <c r="C531" s="39" t="s">
        <v>767</v>
      </c>
      <c r="D531" s="142">
        <v>528102735</v>
      </c>
      <c r="E531" s="39" t="s">
        <v>247</v>
      </c>
      <c r="F531" s="103">
        <v>40404</v>
      </c>
      <c r="G531" s="105" t="str">
        <f t="shared" si="16"/>
        <v>Aug</v>
      </c>
      <c r="H531" s="51">
        <f t="shared" ca="1" si="17"/>
        <v>6</v>
      </c>
      <c r="I531" s="52"/>
      <c r="J531" s="53">
        <v>39550</v>
      </c>
      <c r="K531" s="54">
        <v>5</v>
      </c>
    </row>
    <row r="532" spans="1:11" hidden="1" x14ac:dyDescent="0.25">
      <c r="A532" s="39" t="s">
        <v>781</v>
      </c>
      <c r="B532" s="46" t="s">
        <v>245</v>
      </c>
      <c r="C532" s="39" t="s">
        <v>767</v>
      </c>
      <c r="D532" s="142">
        <v>126141931</v>
      </c>
      <c r="E532" s="39" t="s">
        <v>247</v>
      </c>
      <c r="F532" s="103">
        <v>40410</v>
      </c>
      <c r="G532" s="105" t="str">
        <f t="shared" si="16"/>
        <v>Aug</v>
      </c>
      <c r="H532" s="51">
        <f t="shared" ca="1" si="17"/>
        <v>6</v>
      </c>
      <c r="I532" s="52"/>
      <c r="J532" s="53">
        <v>57680</v>
      </c>
      <c r="K532" s="54">
        <v>4</v>
      </c>
    </row>
    <row r="533" spans="1:11" hidden="1" x14ac:dyDescent="0.25">
      <c r="A533" s="39" t="s">
        <v>846</v>
      </c>
      <c r="B533" s="46" t="s">
        <v>245</v>
      </c>
      <c r="C533" s="39" t="s">
        <v>767</v>
      </c>
      <c r="D533" s="142">
        <v>849729323</v>
      </c>
      <c r="E533" s="39" t="s">
        <v>261</v>
      </c>
      <c r="F533" s="103">
        <v>40421</v>
      </c>
      <c r="G533" s="105" t="str">
        <f t="shared" si="16"/>
        <v>Aug</v>
      </c>
      <c r="H533" s="51">
        <f t="shared" ca="1" si="17"/>
        <v>6</v>
      </c>
      <c r="I533" s="52" t="s">
        <v>262</v>
      </c>
      <c r="J533" s="53">
        <v>49355</v>
      </c>
      <c r="K533" s="54">
        <v>5</v>
      </c>
    </row>
    <row r="534" spans="1:11" hidden="1" x14ac:dyDescent="0.25">
      <c r="A534" s="39" t="s">
        <v>791</v>
      </c>
      <c r="B534" s="46" t="s">
        <v>285</v>
      </c>
      <c r="C534" s="39" t="s">
        <v>767</v>
      </c>
      <c r="D534" s="142">
        <v>801783093</v>
      </c>
      <c r="E534" s="39" t="s">
        <v>256</v>
      </c>
      <c r="F534" s="81">
        <v>33128</v>
      </c>
      <c r="G534" s="105" t="str">
        <f t="shared" si="16"/>
        <v>Sep</v>
      </c>
      <c r="H534" s="51">
        <f t="shared" ca="1" si="17"/>
        <v>26</v>
      </c>
      <c r="I534" s="52" t="s">
        <v>267</v>
      </c>
      <c r="J534" s="53">
        <v>46110</v>
      </c>
      <c r="K534" s="54">
        <v>4</v>
      </c>
    </row>
    <row r="535" spans="1:11" x14ac:dyDescent="0.25">
      <c r="A535" s="39" t="s">
        <v>796</v>
      </c>
      <c r="B535" s="46" t="s">
        <v>271</v>
      </c>
      <c r="C535" s="39" t="s">
        <v>767</v>
      </c>
      <c r="D535" s="142">
        <v>684697545</v>
      </c>
      <c r="E535" s="39" t="s">
        <v>256</v>
      </c>
      <c r="F535" s="81">
        <v>33510</v>
      </c>
      <c r="G535" s="105" t="str">
        <f t="shared" si="16"/>
        <v>Sep</v>
      </c>
      <c r="H535" s="51">
        <f t="shared" ca="1" si="17"/>
        <v>25</v>
      </c>
      <c r="I535" s="52" t="s">
        <v>262</v>
      </c>
      <c r="J535" s="53">
        <v>54500</v>
      </c>
      <c r="K535" s="54">
        <v>5</v>
      </c>
    </row>
    <row r="536" spans="1:11" x14ac:dyDescent="0.25">
      <c r="A536" s="39" t="s">
        <v>771</v>
      </c>
      <c r="B536" s="46" t="s">
        <v>271</v>
      </c>
      <c r="C536" s="39" t="s">
        <v>767</v>
      </c>
      <c r="D536" s="142">
        <v>197889500</v>
      </c>
      <c r="E536" s="39" t="s">
        <v>256</v>
      </c>
      <c r="F536" s="81">
        <v>34222</v>
      </c>
      <c r="G536" s="105" t="str">
        <f t="shared" si="16"/>
        <v>Sep</v>
      </c>
      <c r="H536" s="51">
        <f t="shared" ca="1" si="17"/>
        <v>23</v>
      </c>
      <c r="I536" s="52" t="s">
        <v>257</v>
      </c>
      <c r="J536" s="53">
        <v>62688</v>
      </c>
      <c r="K536" s="54">
        <v>2</v>
      </c>
    </row>
    <row r="537" spans="1:11" hidden="1" x14ac:dyDescent="0.25">
      <c r="A537" s="39" t="s">
        <v>795</v>
      </c>
      <c r="B537" s="46" t="s">
        <v>285</v>
      </c>
      <c r="C537" s="39" t="s">
        <v>767</v>
      </c>
      <c r="D537" s="142">
        <v>817902579</v>
      </c>
      <c r="E537" s="39" t="s">
        <v>256</v>
      </c>
      <c r="F537" s="81">
        <v>35693</v>
      </c>
      <c r="G537" s="105" t="str">
        <f t="shared" si="16"/>
        <v>Sep</v>
      </c>
      <c r="H537" s="51">
        <f t="shared" ca="1" si="17"/>
        <v>19</v>
      </c>
      <c r="I537" s="52" t="s">
        <v>262</v>
      </c>
      <c r="J537" s="53">
        <v>24340</v>
      </c>
      <c r="K537" s="54">
        <v>4</v>
      </c>
    </row>
    <row r="538" spans="1:11" hidden="1" x14ac:dyDescent="0.25">
      <c r="A538" s="39" t="s">
        <v>783</v>
      </c>
      <c r="B538" s="46" t="s">
        <v>251</v>
      </c>
      <c r="C538" s="39" t="s">
        <v>767</v>
      </c>
      <c r="D538" s="142">
        <v>967794505</v>
      </c>
      <c r="E538" s="39" t="s">
        <v>247</v>
      </c>
      <c r="F538" s="81">
        <v>35699</v>
      </c>
      <c r="G538" s="105" t="str">
        <f t="shared" si="16"/>
        <v>Sep</v>
      </c>
      <c r="H538" s="51">
        <f t="shared" ca="1" si="17"/>
        <v>19</v>
      </c>
      <c r="I538" s="52"/>
      <c r="J538" s="53">
        <v>36230</v>
      </c>
      <c r="K538" s="54">
        <v>2</v>
      </c>
    </row>
    <row r="539" spans="1:11" hidden="1" x14ac:dyDescent="0.25">
      <c r="A539" s="39" t="s">
        <v>780</v>
      </c>
      <c r="B539" s="46" t="s">
        <v>285</v>
      </c>
      <c r="C539" s="39" t="s">
        <v>767</v>
      </c>
      <c r="D539" s="142">
        <v>787445819</v>
      </c>
      <c r="E539" s="39" t="s">
        <v>247</v>
      </c>
      <c r="F539" s="81">
        <v>36787</v>
      </c>
      <c r="G539" s="105" t="str">
        <f t="shared" si="16"/>
        <v>Sep</v>
      </c>
      <c r="H539" s="51">
        <f t="shared" ca="1" si="17"/>
        <v>16</v>
      </c>
      <c r="I539" s="52"/>
      <c r="J539" s="53">
        <v>89640</v>
      </c>
      <c r="K539" s="54">
        <v>4</v>
      </c>
    </row>
    <row r="540" spans="1:11" x14ac:dyDescent="0.25">
      <c r="A540" s="39" t="s">
        <v>853</v>
      </c>
      <c r="B540" s="46" t="s">
        <v>271</v>
      </c>
      <c r="C540" s="39" t="s">
        <v>767</v>
      </c>
      <c r="D540" s="142">
        <v>111813636</v>
      </c>
      <c r="E540" s="39" t="s">
        <v>256</v>
      </c>
      <c r="F540" s="81">
        <v>37138</v>
      </c>
      <c r="G540" s="105" t="str">
        <f t="shared" si="16"/>
        <v>Sep</v>
      </c>
      <c r="H540" s="51">
        <f t="shared" ca="1" si="17"/>
        <v>15</v>
      </c>
      <c r="I540" s="52" t="s">
        <v>257</v>
      </c>
      <c r="J540" s="53">
        <v>29130</v>
      </c>
      <c r="K540" s="54">
        <v>1</v>
      </c>
    </row>
    <row r="541" spans="1:11" hidden="1" x14ac:dyDescent="0.25">
      <c r="A541" s="39" t="s">
        <v>825</v>
      </c>
      <c r="B541" s="46" t="s">
        <v>285</v>
      </c>
      <c r="C541" s="39" t="s">
        <v>767</v>
      </c>
      <c r="D541" s="142">
        <v>847181606</v>
      </c>
      <c r="E541" s="39" t="s">
        <v>247</v>
      </c>
      <c r="F541" s="81">
        <v>37526</v>
      </c>
      <c r="G541" s="105" t="str">
        <f t="shared" si="16"/>
        <v>Sep</v>
      </c>
      <c r="H541" s="51">
        <f t="shared" ca="1" si="17"/>
        <v>14</v>
      </c>
      <c r="I541" s="52"/>
      <c r="J541" s="53">
        <v>61580</v>
      </c>
      <c r="K541" s="54">
        <v>3</v>
      </c>
    </row>
    <row r="542" spans="1:11" hidden="1" x14ac:dyDescent="0.25">
      <c r="A542" s="39" t="s">
        <v>788</v>
      </c>
      <c r="B542" s="46" t="s">
        <v>285</v>
      </c>
      <c r="C542" s="39" t="s">
        <v>767</v>
      </c>
      <c r="D542" s="142">
        <v>824856551</v>
      </c>
      <c r="E542" s="39" t="s">
        <v>256</v>
      </c>
      <c r="F542" s="81">
        <v>40438</v>
      </c>
      <c r="G542" s="105" t="str">
        <f t="shared" si="16"/>
        <v>Sep</v>
      </c>
      <c r="H542" s="51">
        <f t="shared" ca="1" si="17"/>
        <v>6</v>
      </c>
      <c r="I542" s="52" t="s">
        <v>267</v>
      </c>
      <c r="J542" s="53">
        <v>59150</v>
      </c>
      <c r="K542" s="54">
        <v>4</v>
      </c>
    </row>
    <row r="543" spans="1:11" hidden="1" x14ac:dyDescent="0.25">
      <c r="A543" s="39" t="s">
        <v>845</v>
      </c>
      <c r="B543" s="46" t="s">
        <v>245</v>
      </c>
      <c r="C543" s="39" t="s">
        <v>767</v>
      </c>
      <c r="D543" s="142">
        <v>972427722</v>
      </c>
      <c r="E543" s="39" t="s">
        <v>247</v>
      </c>
      <c r="F543" s="81">
        <v>33167</v>
      </c>
      <c r="G543" s="105" t="str">
        <f t="shared" si="16"/>
        <v>Oct</v>
      </c>
      <c r="H543" s="51">
        <f t="shared" ca="1" si="17"/>
        <v>26</v>
      </c>
      <c r="I543" s="52"/>
      <c r="J543" s="53">
        <v>23020</v>
      </c>
      <c r="K543" s="54">
        <v>4</v>
      </c>
    </row>
    <row r="544" spans="1:11" x14ac:dyDescent="0.25">
      <c r="A544" s="39" t="s">
        <v>823</v>
      </c>
      <c r="B544" s="46" t="s">
        <v>271</v>
      </c>
      <c r="C544" s="39" t="s">
        <v>767</v>
      </c>
      <c r="D544" s="142">
        <v>827107697</v>
      </c>
      <c r="E544" s="39" t="s">
        <v>247</v>
      </c>
      <c r="F544" s="81">
        <v>33515</v>
      </c>
      <c r="G544" s="105" t="str">
        <f t="shared" si="16"/>
        <v>Oct</v>
      </c>
      <c r="H544" s="51">
        <f t="shared" ca="1" si="17"/>
        <v>25</v>
      </c>
      <c r="I544" s="52"/>
      <c r="J544" s="53">
        <v>52750</v>
      </c>
      <c r="K544" s="54">
        <v>1</v>
      </c>
    </row>
    <row r="545" spans="1:16" x14ac:dyDescent="0.25">
      <c r="A545" s="39" t="s">
        <v>808</v>
      </c>
      <c r="B545" s="46" t="s">
        <v>271</v>
      </c>
      <c r="C545" s="39" t="s">
        <v>767</v>
      </c>
      <c r="D545" s="142">
        <v>476689522</v>
      </c>
      <c r="E545" s="39" t="s">
        <v>256</v>
      </c>
      <c r="F545" s="81">
        <v>33526</v>
      </c>
      <c r="G545" s="105" t="str">
        <f t="shared" si="16"/>
        <v>Oct</v>
      </c>
      <c r="H545" s="51">
        <f t="shared" ca="1" si="17"/>
        <v>25</v>
      </c>
      <c r="I545" s="52" t="s">
        <v>267</v>
      </c>
      <c r="J545" s="53">
        <v>79400</v>
      </c>
      <c r="K545" s="54">
        <v>4</v>
      </c>
    </row>
    <row r="546" spans="1:16" hidden="1" x14ac:dyDescent="0.25">
      <c r="A546" s="39" t="s">
        <v>813</v>
      </c>
      <c r="B546" s="46" t="s">
        <v>245</v>
      </c>
      <c r="C546" s="39" t="s">
        <v>767</v>
      </c>
      <c r="D546" s="142">
        <v>248979703</v>
      </c>
      <c r="E546" s="39" t="s">
        <v>256</v>
      </c>
      <c r="F546" s="81">
        <v>34989</v>
      </c>
      <c r="G546" s="105" t="str">
        <f t="shared" si="16"/>
        <v>Oct</v>
      </c>
      <c r="H546" s="51">
        <f t="shared" ca="1" si="17"/>
        <v>21</v>
      </c>
      <c r="I546" s="52" t="s">
        <v>257</v>
      </c>
      <c r="J546" s="53">
        <v>50570</v>
      </c>
      <c r="K546" s="54">
        <v>4</v>
      </c>
    </row>
    <row r="547" spans="1:16" hidden="1" x14ac:dyDescent="0.25">
      <c r="A547" s="39" t="s">
        <v>784</v>
      </c>
      <c r="B547" s="46" t="s">
        <v>285</v>
      </c>
      <c r="C547" s="39" t="s">
        <v>767</v>
      </c>
      <c r="D547" s="142">
        <v>597173242</v>
      </c>
      <c r="E547" s="39" t="s">
        <v>261</v>
      </c>
      <c r="F547" s="81">
        <v>36084</v>
      </c>
      <c r="G547" s="105" t="str">
        <f t="shared" si="16"/>
        <v>Oct</v>
      </c>
      <c r="H547" s="51">
        <f t="shared" ca="1" si="17"/>
        <v>18</v>
      </c>
      <c r="I547" s="52" t="s">
        <v>262</v>
      </c>
      <c r="J547" s="53">
        <v>45750</v>
      </c>
      <c r="K547" s="54">
        <v>5</v>
      </c>
    </row>
    <row r="548" spans="1:16" hidden="1" x14ac:dyDescent="0.25">
      <c r="A548" s="39" t="s">
        <v>776</v>
      </c>
      <c r="B548" s="46" t="s">
        <v>245</v>
      </c>
      <c r="C548" s="39" t="s">
        <v>767</v>
      </c>
      <c r="D548" s="142">
        <v>496230913</v>
      </c>
      <c r="E548" s="39" t="s">
        <v>247</v>
      </c>
      <c r="F548" s="81">
        <v>36086</v>
      </c>
      <c r="G548" s="105" t="str">
        <f t="shared" si="16"/>
        <v>Oct</v>
      </c>
      <c r="H548" s="51">
        <f t="shared" ca="1" si="17"/>
        <v>18</v>
      </c>
      <c r="I548" s="52"/>
      <c r="J548" s="53">
        <v>47520</v>
      </c>
      <c r="K548" s="54">
        <v>1</v>
      </c>
    </row>
    <row r="549" spans="1:16" x14ac:dyDescent="0.25">
      <c r="A549" s="39" t="s">
        <v>826</v>
      </c>
      <c r="B549" s="46" t="s">
        <v>271</v>
      </c>
      <c r="C549" s="39" t="s">
        <v>767</v>
      </c>
      <c r="D549" s="142">
        <v>195855972</v>
      </c>
      <c r="E549" s="39" t="s">
        <v>256</v>
      </c>
      <c r="F549" s="81">
        <v>36088</v>
      </c>
      <c r="G549" s="105" t="str">
        <f t="shared" si="16"/>
        <v>Oct</v>
      </c>
      <c r="H549" s="51">
        <f t="shared" ca="1" si="17"/>
        <v>18</v>
      </c>
      <c r="I549" s="52" t="s">
        <v>267</v>
      </c>
      <c r="J549" s="53">
        <v>54580</v>
      </c>
      <c r="K549" s="54">
        <v>4</v>
      </c>
    </row>
    <row r="550" spans="1:16" hidden="1" x14ac:dyDescent="0.25">
      <c r="A550" s="39" t="s">
        <v>836</v>
      </c>
      <c r="B550" s="46" t="s">
        <v>285</v>
      </c>
      <c r="C550" s="39" t="s">
        <v>767</v>
      </c>
      <c r="D550" s="142">
        <v>202630639</v>
      </c>
      <c r="E550" s="39" t="s">
        <v>256</v>
      </c>
      <c r="F550" s="81">
        <v>39362</v>
      </c>
      <c r="G550" s="105" t="str">
        <f t="shared" si="16"/>
        <v>Oct</v>
      </c>
      <c r="H550" s="51">
        <f t="shared" ca="1" si="17"/>
        <v>9</v>
      </c>
      <c r="I550" s="52" t="s">
        <v>262</v>
      </c>
      <c r="J550" s="53">
        <v>42020</v>
      </c>
      <c r="K550" s="54">
        <v>5</v>
      </c>
    </row>
    <row r="551" spans="1:16" hidden="1" x14ac:dyDescent="0.25">
      <c r="A551" s="39" t="s">
        <v>841</v>
      </c>
      <c r="B551" s="46" t="s">
        <v>280</v>
      </c>
      <c r="C551" s="39" t="s">
        <v>767</v>
      </c>
      <c r="D551" s="142">
        <v>325115058</v>
      </c>
      <c r="E551" s="39" t="s">
        <v>261</v>
      </c>
      <c r="F551" s="81">
        <v>39728</v>
      </c>
      <c r="G551" s="105" t="str">
        <f t="shared" si="16"/>
        <v>Oct</v>
      </c>
      <c r="H551" s="51">
        <f t="shared" ca="1" si="17"/>
        <v>8</v>
      </c>
      <c r="I551" s="52" t="s">
        <v>257</v>
      </c>
      <c r="J551" s="53">
        <v>45565</v>
      </c>
      <c r="K551" s="54">
        <v>1</v>
      </c>
    </row>
    <row r="552" spans="1:16" hidden="1" x14ac:dyDescent="0.25">
      <c r="A552" s="39" t="s">
        <v>769</v>
      </c>
      <c r="B552" s="46" t="s">
        <v>285</v>
      </c>
      <c r="C552" s="39" t="s">
        <v>767</v>
      </c>
      <c r="D552" s="142">
        <v>128474861</v>
      </c>
      <c r="E552" s="39" t="s">
        <v>256</v>
      </c>
      <c r="F552" s="81">
        <v>40477</v>
      </c>
      <c r="G552" s="105" t="str">
        <f t="shared" si="16"/>
        <v>Oct</v>
      </c>
      <c r="H552" s="51">
        <f t="shared" ca="1" si="17"/>
        <v>6</v>
      </c>
      <c r="I552" s="52" t="s">
        <v>267</v>
      </c>
      <c r="J552" s="53">
        <v>63206</v>
      </c>
      <c r="K552" s="54">
        <v>1</v>
      </c>
    </row>
    <row r="553" spans="1:16" hidden="1" x14ac:dyDescent="0.25">
      <c r="A553" s="39" t="s">
        <v>810</v>
      </c>
      <c r="B553" s="46" t="s">
        <v>285</v>
      </c>
      <c r="C553" s="39" t="s">
        <v>767</v>
      </c>
      <c r="D553" s="142">
        <v>164418924</v>
      </c>
      <c r="E553" s="39" t="s">
        <v>247</v>
      </c>
      <c r="F553" s="81">
        <v>34658</v>
      </c>
      <c r="G553" s="105" t="str">
        <f t="shared" si="16"/>
        <v>Nov</v>
      </c>
      <c r="H553" s="51">
        <f t="shared" ca="1" si="17"/>
        <v>21</v>
      </c>
      <c r="I553" s="52"/>
      <c r="J553" s="53">
        <v>85980</v>
      </c>
      <c r="K553" s="54">
        <v>2</v>
      </c>
    </row>
    <row r="554" spans="1:16" hidden="1" x14ac:dyDescent="0.25">
      <c r="A554" s="39" t="s">
        <v>817</v>
      </c>
      <c r="B554" s="46" t="s">
        <v>285</v>
      </c>
      <c r="C554" s="39" t="s">
        <v>767</v>
      </c>
      <c r="D554" s="142">
        <v>483246957</v>
      </c>
      <c r="E554" s="39" t="s">
        <v>256</v>
      </c>
      <c r="F554" s="81">
        <v>37568</v>
      </c>
      <c r="G554" s="105" t="str">
        <f t="shared" si="16"/>
        <v>Nov</v>
      </c>
      <c r="H554" s="51">
        <f t="shared" ca="1" si="17"/>
        <v>14</v>
      </c>
      <c r="I554" s="52" t="s">
        <v>262</v>
      </c>
      <c r="J554" s="53">
        <v>45100</v>
      </c>
      <c r="K554" s="54">
        <v>2</v>
      </c>
    </row>
    <row r="555" spans="1:16" x14ac:dyDescent="0.25">
      <c r="A555" s="39" t="s">
        <v>830</v>
      </c>
      <c r="B555" s="46" t="s">
        <v>271</v>
      </c>
      <c r="C555" s="39" t="s">
        <v>767</v>
      </c>
      <c r="D555" s="142">
        <v>911878948</v>
      </c>
      <c r="E555" s="39" t="s">
        <v>256</v>
      </c>
      <c r="F555" s="81">
        <v>39047</v>
      </c>
      <c r="G555" s="105" t="str">
        <f t="shared" si="16"/>
        <v>Nov</v>
      </c>
      <c r="H555" s="51">
        <f t="shared" ca="1" si="17"/>
        <v>9</v>
      </c>
      <c r="I555" s="52" t="s">
        <v>283</v>
      </c>
      <c r="J555" s="53">
        <v>65880</v>
      </c>
      <c r="K555" s="54">
        <v>5</v>
      </c>
      <c r="O555" s="75"/>
      <c r="P555" s="75"/>
    </row>
    <row r="556" spans="1:16" x14ac:dyDescent="0.25">
      <c r="A556" s="39" t="s">
        <v>816</v>
      </c>
      <c r="B556" s="46" t="s">
        <v>271</v>
      </c>
      <c r="C556" s="39" t="s">
        <v>767</v>
      </c>
      <c r="D556" s="142">
        <v>674985174</v>
      </c>
      <c r="E556" s="39" t="s">
        <v>256</v>
      </c>
      <c r="F556" s="81">
        <v>40137</v>
      </c>
      <c r="G556" s="105" t="str">
        <f t="shared" si="16"/>
        <v>Nov</v>
      </c>
      <c r="H556" s="51">
        <f t="shared" ca="1" si="17"/>
        <v>6</v>
      </c>
      <c r="I556" s="52" t="s">
        <v>257</v>
      </c>
      <c r="J556" s="53">
        <v>54190</v>
      </c>
      <c r="K556" s="54">
        <v>4</v>
      </c>
    </row>
    <row r="557" spans="1:16" x14ac:dyDescent="0.25">
      <c r="A557" s="39" t="s">
        <v>801</v>
      </c>
      <c r="B557" s="46" t="s">
        <v>271</v>
      </c>
      <c r="C557" s="39" t="s">
        <v>767</v>
      </c>
      <c r="D557" s="142">
        <v>598630857</v>
      </c>
      <c r="E557" s="39" t="s">
        <v>247</v>
      </c>
      <c r="F557" s="81">
        <v>33234</v>
      </c>
      <c r="G557" s="105" t="str">
        <f t="shared" si="16"/>
        <v>Dec</v>
      </c>
      <c r="H557" s="51">
        <f t="shared" ca="1" si="17"/>
        <v>25</v>
      </c>
      <c r="I557" s="52"/>
      <c r="J557" s="53">
        <v>58650</v>
      </c>
      <c r="K557" s="54">
        <v>4</v>
      </c>
    </row>
    <row r="558" spans="1:16" hidden="1" x14ac:dyDescent="0.25">
      <c r="A558" s="39" t="s">
        <v>854</v>
      </c>
      <c r="B558" s="46" t="s">
        <v>285</v>
      </c>
      <c r="C558" s="39" t="s">
        <v>767</v>
      </c>
      <c r="D558" s="142">
        <v>708625906</v>
      </c>
      <c r="E558" s="39" t="s">
        <v>256</v>
      </c>
      <c r="F558" s="81">
        <v>33573</v>
      </c>
      <c r="G558" s="105" t="str">
        <f t="shared" si="16"/>
        <v>Dec</v>
      </c>
      <c r="H558" s="51">
        <f t="shared" ca="1" si="17"/>
        <v>24</v>
      </c>
      <c r="I558" s="52" t="s">
        <v>276</v>
      </c>
      <c r="J558" s="53">
        <v>71680</v>
      </c>
      <c r="K558" s="54">
        <v>4</v>
      </c>
      <c r="O558" s="75"/>
      <c r="P558" s="75"/>
    </row>
    <row r="559" spans="1:16" hidden="1" x14ac:dyDescent="0.25">
      <c r="A559" s="39" t="s">
        <v>794</v>
      </c>
      <c r="B559" s="46" t="s">
        <v>245</v>
      </c>
      <c r="C559" s="39" t="s">
        <v>767</v>
      </c>
      <c r="D559" s="142">
        <v>668966618</v>
      </c>
      <c r="E559" s="39" t="s">
        <v>247</v>
      </c>
      <c r="F559" s="81">
        <v>33578</v>
      </c>
      <c r="G559" s="105" t="str">
        <f t="shared" si="16"/>
        <v>Dec</v>
      </c>
      <c r="H559" s="51">
        <f t="shared" ca="1" si="17"/>
        <v>24</v>
      </c>
      <c r="I559" s="52"/>
      <c r="J559" s="53">
        <v>50840</v>
      </c>
      <c r="K559" s="54">
        <v>4</v>
      </c>
    </row>
    <row r="560" spans="1:16" x14ac:dyDescent="0.25">
      <c r="A560" s="39" t="s">
        <v>839</v>
      </c>
      <c r="B560" s="46" t="s">
        <v>271</v>
      </c>
      <c r="C560" s="39" t="s">
        <v>767</v>
      </c>
      <c r="D560" s="142">
        <v>135353214</v>
      </c>
      <c r="E560" s="39" t="s">
        <v>247</v>
      </c>
      <c r="F560" s="81">
        <v>33949</v>
      </c>
      <c r="G560" s="105" t="str">
        <f t="shared" si="16"/>
        <v>Dec</v>
      </c>
      <c r="H560" s="51">
        <f t="shared" ca="1" si="17"/>
        <v>23</v>
      </c>
      <c r="I560" s="52"/>
      <c r="J560" s="53">
        <v>44720</v>
      </c>
      <c r="K560" s="54">
        <v>2</v>
      </c>
      <c r="O560" s="75"/>
      <c r="P560" s="75"/>
    </row>
    <row r="561" spans="1:16" hidden="1" x14ac:dyDescent="0.25">
      <c r="A561" s="39" t="s">
        <v>844</v>
      </c>
      <c r="B561" s="46" t="s">
        <v>280</v>
      </c>
      <c r="C561" s="39" t="s">
        <v>767</v>
      </c>
      <c r="D561" s="142">
        <v>402835335</v>
      </c>
      <c r="E561" s="39" t="s">
        <v>256</v>
      </c>
      <c r="F561" s="81">
        <v>34693</v>
      </c>
      <c r="G561" s="105" t="str">
        <f t="shared" si="16"/>
        <v>Dec</v>
      </c>
      <c r="H561" s="51">
        <f t="shared" ca="1" si="17"/>
        <v>21</v>
      </c>
      <c r="I561" s="52" t="s">
        <v>262</v>
      </c>
      <c r="J561" s="53">
        <v>88820</v>
      </c>
      <c r="K561" s="54">
        <v>2</v>
      </c>
    </row>
    <row r="562" spans="1:16" hidden="1" x14ac:dyDescent="0.25">
      <c r="A562" s="39" t="s">
        <v>789</v>
      </c>
      <c r="B562" s="46" t="s">
        <v>251</v>
      </c>
      <c r="C562" s="39" t="s">
        <v>767</v>
      </c>
      <c r="D562" s="142">
        <v>474263211</v>
      </c>
      <c r="E562" s="39" t="s">
        <v>256</v>
      </c>
      <c r="F562" s="81">
        <v>36136</v>
      </c>
      <c r="G562" s="105" t="str">
        <f t="shared" si="16"/>
        <v>Dec</v>
      </c>
      <c r="H562" s="51">
        <f t="shared" ca="1" si="17"/>
        <v>17</v>
      </c>
      <c r="I562" s="52" t="s">
        <v>283</v>
      </c>
      <c r="J562" s="53">
        <v>45000</v>
      </c>
      <c r="K562" s="54">
        <v>4</v>
      </c>
    </row>
    <row r="563" spans="1:16" x14ac:dyDescent="0.25">
      <c r="A563" s="39" t="s">
        <v>787</v>
      </c>
      <c r="B563" s="46" t="s">
        <v>271</v>
      </c>
      <c r="C563" s="39" t="s">
        <v>767</v>
      </c>
      <c r="D563" s="142">
        <v>754757751</v>
      </c>
      <c r="E563" s="39" t="s">
        <v>261</v>
      </c>
      <c r="F563" s="81">
        <v>37249</v>
      </c>
      <c r="G563" s="105" t="str">
        <f t="shared" si="16"/>
        <v>Dec</v>
      </c>
      <c r="H563" s="51">
        <f t="shared" ca="1" si="17"/>
        <v>14</v>
      </c>
      <c r="I563" s="52" t="s">
        <v>276</v>
      </c>
      <c r="J563" s="53">
        <v>12545</v>
      </c>
      <c r="K563" s="54">
        <v>4</v>
      </c>
    </row>
    <row r="564" spans="1:16" hidden="1" x14ac:dyDescent="0.25">
      <c r="A564" s="39" t="s">
        <v>849</v>
      </c>
      <c r="B564" s="46" t="s">
        <v>285</v>
      </c>
      <c r="C564" s="39" t="s">
        <v>767</v>
      </c>
      <c r="D564" s="142">
        <v>696848704</v>
      </c>
      <c r="E564" s="39" t="s">
        <v>256</v>
      </c>
      <c r="F564" s="81">
        <v>39446</v>
      </c>
      <c r="G564" s="105" t="str">
        <f t="shared" si="16"/>
        <v>Dec</v>
      </c>
      <c r="H564" s="51">
        <f t="shared" ca="1" si="17"/>
        <v>8</v>
      </c>
      <c r="I564" s="52" t="s">
        <v>257</v>
      </c>
      <c r="J564" s="53">
        <v>44650</v>
      </c>
      <c r="K564" s="54">
        <v>1</v>
      </c>
    </row>
    <row r="565" spans="1:16" x14ac:dyDescent="0.25">
      <c r="A565" s="39" t="s">
        <v>778</v>
      </c>
      <c r="B565" s="46" t="s">
        <v>271</v>
      </c>
      <c r="C565" s="39" t="s">
        <v>767</v>
      </c>
      <c r="D565" s="142">
        <v>345234895</v>
      </c>
      <c r="E565" s="39" t="s">
        <v>261</v>
      </c>
      <c r="F565" s="81">
        <v>40166</v>
      </c>
      <c r="G565" s="105" t="str">
        <f t="shared" si="16"/>
        <v>Dec</v>
      </c>
      <c r="H565" s="51">
        <f t="shared" ca="1" si="17"/>
        <v>6</v>
      </c>
      <c r="I565" s="52" t="s">
        <v>276</v>
      </c>
      <c r="J565" s="53">
        <v>25245</v>
      </c>
      <c r="K565" s="54">
        <v>5</v>
      </c>
    </row>
    <row r="566" spans="1:16" hidden="1" x14ac:dyDescent="0.25">
      <c r="A566" s="39" t="s">
        <v>894</v>
      </c>
      <c r="B566" s="46" t="s">
        <v>245</v>
      </c>
      <c r="C566" s="39" t="s">
        <v>856</v>
      </c>
      <c r="D566" s="142">
        <v>570988988</v>
      </c>
      <c r="E566" s="39" t="s">
        <v>252</v>
      </c>
      <c r="F566" s="81">
        <v>33256</v>
      </c>
      <c r="G566" s="105" t="str">
        <f t="shared" si="16"/>
        <v>Jan</v>
      </c>
      <c r="H566" s="51">
        <f t="shared" ca="1" si="17"/>
        <v>25</v>
      </c>
      <c r="I566" s="52"/>
      <c r="J566" s="53">
        <v>30468</v>
      </c>
      <c r="K566" s="54">
        <v>2</v>
      </c>
    </row>
    <row r="567" spans="1:16" hidden="1" x14ac:dyDescent="0.25">
      <c r="A567" s="39" t="s">
        <v>858</v>
      </c>
      <c r="B567" s="46" t="s">
        <v>285</v>
      </c>
      <c r="C567" s="39" t="s">
        <v>856</v>
      </c>
      <c r="D567" s="142">
        <v>386357839</v>
      </c>
      <c r="E567" s="39" t="s">
        <v>256</v>
      </c>
      <c r="F567" s="81">
        <v>33269</v>
      </c>
      <c r="G567" s="105" t="str">
        <f t="shared" si="16"/>
        <v>Jan</v>
      </c>
      <c r="H567" s="51">
        <f t="shared" ca="1" si="17"/>
        <v>25</v>
      </c>
      <c r="I567" s="52" t="s">
        <v>283</v>
      </c>
      <c r="J567" s="53">
        <v>24840</v>
      </c>
      <c r="K567" s="54">
        <v>1</v>
      </c>
    </row>
    <row r="568" spans="1:16" hidden="1" x14ac:dyDescent="0.25">
      <c r="A568" s="39" t="s">
        <v>878</v>
      </c>
      <c r="B568" s="46" t="s">
        <v>285</v>
      </c>
      <c r="C568" s="39" t="s">
        <v>856</v>
      </c>
      <c r="D568" s="142">
        <v>919799753</v>
      </c>
      <c r="E568" s="39" t="s">
        <v>256</v>
      </c>
      <c r="F568" s="81">
        <v>33604</v>
      </c>
      <c r="G568" s="105" t="str">
        <f t="shared" si="16"/>
        <v>Jan</v>
      </c>
      <c r="H568" s="51">
        <f t="shared" ca="1" si="17"/>
        <v>24</v>
      </c>
      <c r="I568" s="52" t="s">
        <v>257</v>
      </c>
      <c r="J568" s="53">
        <v>54830</v>
      </c>
      <c r="K568" s="54">
        <v>1</v>
      </c>
    </row>
    <row r="569" spans="1:16" x14ac:dyDescent="0.25">
      <c r="A569" s="39" t="s">
        <v>879</v>
      </c>
      <c r="B569" s="46" t="s">
        <v>271</v>
      </c>
      <c r="C569" s="39" t="s">
        <v>856</v>
      </c>
      <c r="D569" s="142">
        <v>816554850</v>
      </c>
      <c r="E569" s="39" t="s">
        <v>252</v>
      </c>
      <c r="F569" s="81">
        <v>34345</v>
      </c>
      <c r="G569" s="105" t="str">
        <f t="shared" si="16"/>
        <v>Jan</v>
      </c>
      <c r="H569" s="51">
        <f t="shared" ca="1" si="17"/>
        <v>22</v>
      </c>
      <c r="I569" s="52"/>
      <c r="J569" s="53">
        <v>36788</v>
      </c>
      <c r="K569" s="54">
        <v>4</v>
      </c>
    </row>
    <row r="570" spans="1:16" hidden="1" x14ac:dyDescent="0.25">
      <c r="A570" s="39" t="s">
        <v>912</v>
      </c>
      <c r="B570" s="46" t="s">
        <v>245</v>
      </c>
      <c r="C570" s="39" t="s">
        <v>856</v>
      </c>
      <c r="D570" s="142">
        <v>431314172</v>
      </c>
      <c r="E570" s="39" t="s">
        <v>256</v>
      </c>
      <c r="F570" s="81">
        <v>35451</v>
      </c>
      <c r="G570" s="105" t="str">
        <f t="shared" si="16"/>
        <v>Jan</v>
      </c>
      <c r="H570" s="51">
        <f t="shared" ca="1" si="17"/>
        <v>19</v>
      </c>
      <c r="I570" s="52" t="s">
        <v>276</v>
      </c>
      <c r="J570" s="53">
        <v>62965</v>
      </c>
      <c r="K570" s="54">
        <v>1</v>
      </c>
    </row>
    <row r="571" spans="1:16" x14ac:dyDescent="0.25">
      <c r="A571" s="39" t="s">
        <v>927</v>
      </c>
      <c r="B571" s="46" t="s">
        <v>271</v>
      </c>
      <c r="C571" s="39" t="s">
        <v>856</v>
      </c>
      <c r="D571" s="142">
        <v>843883903</v>
      </c>
      <c r="E571" s="39" t="s">
        <v>247</v>
      </c>
      <c r="F571" s="81">
        <v>35806</v>
      </c>
      <c r="G571" s="105" t="str">
        <f t="shared" si="16"/>
        <v>Jan</v>
      </c>
      <c r="H571" s="51">
        <f t="shared" ca="1" si="17"/>
        <v>18</v>
      </c>
      <c r="I571" s="52"/>
      <c r="J571" s="53">
        <v>86100</v>
      </c>
      <c r="K571" s="54">
        <v>4</v>
      </c>
      <c r="O571" s="75"/>
      <c r="P571" s="75"/>
    </row>
    <row r="572" spans="1:16" hidden="1" x14ac:dyDescent="0.25">
      <c r="A572" s="39" t="s">
        <v>855</v>
      </c>
      <c r="B572" s="46" t="s">
        <v>285</v>
      </c>
      <c r="C572" s="39" t="s">
        <v>856</v>
      </c>
      <c r="D572" s="142">
        <v>372523421</v>
      </c>
      <c r="E572" s="39" t="s">
        <v>256</v>
      </c>
      <c r="F572" s="81">
        <v>36526</v>
      </c>
      <c r="G572" s="105" t="str">
        <f t="shared" si="16"/>
        <v>Jan</v>
      </c>
      <c r="H572" s="51">
        <f t="shared" ca="1" si="17"/>
        <v>16</v>
      </c>
      <c r="I572" s="52" t="s">
        <v>257</v>
      </c>
      <c r="J572" s="53">
        <v>29260</v>
      </c>
      <c r="K572" s="54">
        <v>4</v>
      </c>
    </row>
    <row r="573" spans="1:16" x14ac:dyDescent="0.25">
      <c r="A573" s="39" t="s">
        <v>895</v>
      </c>
      <c r="B573" s="46" t="s">
        <v>271</v>
      </c>
      <c r="C573" s="39" t="s">
        <v>856</v>
      </c>
      <c r="D573" s="142">
        <v>373432482</v>
      </c>
      <c r="E573" s="39" t="s">
        <v>261</v>
      </c>
      <c r="F573" s="81">
        <v>36531</v>
      </c>
      <c r="G573" s="105" t="str">
        <f t="shared" si="16"/>
        <v>Jan</v>
      </c>
      <c r="H573" s="51">
        <f t="shared" ca="1" si="17"/>
        <v>16</v>
      </c>
      <c r="I573" s="52" t="s">
        <v>267</v>
      </c>
      <c r="J573" s="53">
        <v>20990</v>
      </c>
      <c r="K573" s="54">
        <v>4</v>
      </c>
    </row>
    <row r="574" spans="1:16" hidden="1" x14ac:dyDescent="0.25">
      <c r="A574" s="39" t="s">
        <v>864</v>
      </c>
      <c r="B574" s="46" t="s">
        <v>266</v>
      </c>
      <c r="C574" s="39" t="s">
        <v>856</v>
      </c>
      <c r="D574" s="142">
        <v>219299557</v>
      </c>
      <c r="E574" s="39" t="s">
        <v>256</v>
      </c>
      <c r="F574" s="81">
        <v>37625</v>
      </c>
      <c r="G574" s="105" t="str">
        <f t="shared" si="16"/>
        <v>Jan</v>
      </c>
      <c r="H574" s="51">
        <f t="shared" ca="1" si="17"/>
        <v>13</v>
      </c>
      <c r="I574" s="52" t="s">
        <v>283</v>
      </c>
      <c r="J574" s="53">
        <v>82490</v>
      </c>
      <c r="K574" s="54">
        <v>5</v>
      </c>
    </row>
    <row r="575" spans="1:16" hidden="1" x14ac:dyDescent="0.25">
      <c r="A575" s="39" t="s">
        <v>893</v>
      </c>
      <c r="B575" s="46" t="s">
        <v>280</v>
      </c>
      <c r="C575" s="39" t="s">
        <v>856</v>
      </c>
      <c r="D575" s="142">
        <v>859324834</v>
      </c>
      <c r="E575" s="39" t="s">
        <v>256</v>
      </c>
      <c r="F575" s="81">
        <v>38353</v>
      </c>
      <c r="G575" s="105" t="str">
        <f t="shared" si="16"/>
        <v>Jan</v>
      </c>
      <c r="H575" s="51">
        <f t="shared" ca="1" si="17"/>
        <v>11</v>
      </c>
      <c r="I575" s="52" t="s">
        <v>283</v>
      </c>
      <c r="J575" s="53">
        <v>83710</v>
      </c>
      <c r="K575" s="54">
        <v>3</v>
      </c>
    </row>
    <row r="576" spans="1:16" hidden="1" x14ac:dyDescent="0.25">
      <c r="A576" s="39" t="s">
        <v>905</v>
      </c>
      <c r="B576" s="46" t="s">
        <v>245</v>
      </c>
      <c r="C576" s="39" t="s">
        <v>856</v>
      </c>
      <c r="D576" s="142">
        <v>735196274</v>
      </c>
      <c r="E576" s="39" t="s">
        <v>256</v>
      </c>
      <c r="F576" s="81">
        <v>39815</v>
      </c>
      <c r="G576" s="105" t="str">
        <f t="shared" si="16"/>
        <v>Jan</v>
      </c>
      <c r="H576" s="51">
        <f t="shared" ca="1" si="17"/>
        <v>7</v>
      </c>
      <c r="I576" s="52" t="s">
        <v>283</v>
      </c>
      <c r="J576" s="53">
        <v>72060</v>
      </c>
      <c r="K576" s="54">
        <v>2</v>
      </c>
    </row>
    <row r="577" spans="1:11" hidden="1" x14ac:dyDescent="0.25">
      <c r="A577" s="39" t="s">
        <v>860</v>
      </c>
      <c r="B577" s="46" t="s">
        <v>251</v>
      </c>
      <c r="C577" s="39" t="s">
        <v>856</v>
      </c>
      <c r="D577" s="142">
        <v>649328697</v>
      </c>
      <c r="E577" s="39" t="s">
        <v>247</v>
      </c>
      <c r="F577" s="81">
        <v>33282</v>
      </c>
      <c r="G577" s="105" t="str">
        <f t="shared" si="16"/>
        <v>Feb</v>
      </c>
      <c r="H577" s="51">
        <f t="shared" ca="1" si="17"/>
        <v>25</v>
      </c>
      <c r="I577" s="52"/>
      <c r="J577" s="53">
        <v>89450</v>
      </c>
      <c r="K577" s="54">
        <v>2</v>
      </c>
    </row>
    <row r="578" spans="1:11" hidden="1" x14ac:dyDescent="0.25">
      <c r="A578" s="39" t="s">
        <v>919</v>
      </c>
      <c r="B578" s="46" t="s">
        <v>245</v>
      </c>
      <c r="C578" s="39" t="s">
        <v>856</v>
      </c>
      <c r="D578" s="142">
        <v>280115764</v>
      </c>
      <c r="E578" s="39" t="s">
        <v>256</v>
      </c>
      <c r="F578" s="81">
        <v>34010</v>
      </c>
      <c r="G578" s="105" t="str">
        <f t="shared" ref="G578:G641" si="18">CHOOSE(MONTH(F578),"Jan","Feb","Mar","Apr","May","Jun","Jul","Aug","Sep","Oct","Nov","Dec")</f>
        <v>Feb</v>
      </c>
      <c r="H578" s="51">
        <f t="shared" ref="H578:H641" ca="1" si="19">DATEDIF(F578,TODAY(),"Y")</f>
        <v>23</v>
      </c>
      <c r="I578" s="52" t="s">
        <v>257</v>
      </c>
      <c r="J578" s="53">
        <v>54270</v>
      </c>
      <c r="K578" s="54">
        <v>3</v>
      </c>
    </row>
    <row r="579" spans="1:11" hidden="1" x14ac:dyDescent="0.25">
      <c r="A579" s="39" t="s">
        <v>869</v>
      </c>
      <c r="B579" s="46" t="s">
        <v>251</v>
      </c>
      <c r="C579" s="39" t="s">
        <v>856</v>
      </c>
      <c r="D579" s="142">
        <v>797016597</v>
      </c>
      <c r="E579" s="39" t="s">
        <v>256</v>
      </c>
      <c r="F579" s="81">
        <v>34021</v>
      </c>
      <c r="G579" s="105" t="str">
        <f t="shared" si="18"/>
        <v>Feb</v>
      </c>
      <c r="H579" s="51">
        <f t="shared" ca="1" si="19"/>
        <v>23</v>
      </c>
      <c r="I579" s="52" t="s">
        <v>283</v>
      </c>
      <c r="J579" s="53">
        <v>45110</v>
      </c>
      <c r="K579" s="54">
        <v>2</v>
      </c>
    </row>
    <row r="580" spans="1:11" x14ac:dyDescent="0.25">
      <c r="A580" s="39" t="s">
        <v>898</v>
      </c>
      <c r="B580" s="46" t="s">
        <v>271</v>
      </c>
      <c r="C580" s="39" t="s">
        <v>856</v>
      </c>
      <c r="D580" s="142">
        <v>340085253</v>
      </c>
      <c r="E580" s="39" t="s">
        <v>256</v>
      </c>
      <c r="F580" s="81">
        <v>34028</v>
      </c>
      <c r="G580" s="105" t="str">
        <f t="shared" si="18"/>
        <v>Feb</v>
      </c>
      <c r="H580" s="51">
        <f t="shared" ca="1" si="19"/>
        <v>23</v>
      </c>
      <c r="I580" s="52" t="s">
        <v>283</v>
      </c>
      <c r="J580" s="53">
        <v>66824</v>
      </c>
      <c r="K580" s="54">
        <v>2</v>
      </c>
    </row>
    <row r="581" spans="1:11" x14ac:dyDescent="0.25">
      <c r="A581" s="39" t="s">
        <v>857</v>
      </c>
      <c r="B581" s="46" t="s">
        <v>271</v>
      </c>
      <c r="C581" s="39" t="s">
        <v>856</v>
      </c>
      <c r="D581" s="142">
        <v>466589090</v>
      </c>
      <c r="E581" s="39" t="s">
        <v>256</v>
      </c>
      <c r="F581" s="81">
        <v>34754</v>
      </c>
      <c r="G581" s="105" t="str">
        <f t="shared" si="18"/>
        <v>Feb</v>
      </c>
      <c r="H581" s="51">
        <f t="shared" ca="1" si="19"/>
        <v>21</v>
      </c>
      <c r="I581" s="52" t="s">
        <v>257</v>
      </c>
      <c r="J581" s="53">
        <v>39000</v>
      </c>
      <c r="K581" s="54">
        <v>5</v>
      </c>
    </row>
    <row r="582" spans="1:11" hidden="1" x14ac:dyDescent="0.25">
      <c r="A582" s="39" t="s">
        <v>911</v>
      </c>
      <c r="B582" s="46" t="s">
        <v>280</v>
      </c>
      <c r="C582" s="39" t="s">
        <v>856</v>
      </c>
      <c r="D582" s="142">
        <v>338708343</v>
      </c>
      <c r="E582" s="39" t="s">
        <v>261</v>
      </c>
      <c r="F582" s="81">
        <v>35842</v>
      </c>
      <c r="G582" s="105" t="str">
        <f t="shared" si="18"/>
        <v>Feb</v>
      </c>
      <c r="H582" s="51">
        <f t="shared" ca="1" si="19"/>
        <v>18</v>
      </c>
      <c r="I582" s="52" t="s">
        <v>267</v>
      </c>
      <c r="J582" s="53">
        <v>39530</v>
      </c>
      <c r="K582" s="54">
        <v>5</v>
      </c>
    </row>
    <row r="583" spans="1:11" x14ac:dyDescent="0.25">
      <c r="A583" s="39" t="s">
        <v>901</v>
      </c>
      <c r="B583" s="46" t="s">
        <v>271</v>
      </c>
      <c r="C583" s="39" t="s">
        <v>856</v>
      </c>
      <c r="D583" s="142">
        <v>466253648</v>
      </c>
      <c r="E583" s="39" t="s">
        <v>261</v>
      </c>
      <c r="F583" s="81">
        <v>36196</v>
      </c>
      <c r="G583" s="105" t="str">
        <f t="shared" si="18"/>
        <v>Feb</v>
      </c>
      <c r="H583" s="51">
        <f t="shared" ca="1" si="19"/>
        <v>17</v>
      </c>
      <c r="I583" s="52" t="s">
        <v>257</v>
      </c>
      <c r="J583" s="53">
        <v>34980</v>
      </c>
      <c r="K583" s="54">
        <v>2</v>
      </c>
    </row>
    <row r="584" spans="1:11" hidden="1" x14ac:dyDescent="0.25">
      <c r="A584" s="39" t="s">
        <v>888</v>
      </c>
      <c r="B584" s="46" t="s">
        <v>285</v>
      </c>
      <c r="C584" s="39" t="s">
        <v>856</v>
      </c>
      <c r="D584" s="142">
        <v>946178165</v>
      </c>
      <c r="E584" s="39" t="s">
        <v>247</v>
      </c>
      <c r="F584" s="81">
        <v>36214</v>
      </c>
      <c r="G584" s="105" t="str">
        <f t="shared" si="18"/>
        <v>Feb</v>
      </c>
      <c r="H584" s="51">
        <f t="shared" ca="1" si="19"/>
        <v>17</v>
      </c>
      <c r="I584" s="52"/>
      <c r="J584" s="53">
        <v>53310</v>
      </c>
      <c r="K584" s="54">
        <v>5</v>
      </c>
    </row>
    <row r="585" spans="1:11" hidden="1" x14ac:dyDescent="0.25">
      <c r="A585" s="39" t="s">
        <v>868</v>
      </c>
      <c r="B585" s="46" t="s">
        <v>266</v>
      </c>
      <c r="C585" s="39" t="s">
        <v>856</v>
      </c>
      <c r="D585" s="142">
        <v>312021243</v>
      </c>
      <c r="E585" s="39" t="s">
        <v>252</v>
      </c>
      <c r="F585" s="81">
        <v>36557</v>
      </c>
      <c r="G585" s="105" t="str">
        <f t="shared" si="18"/>
        <v>Feb</v>
      </c>
      <c r="H585" s="51">
        <f t="shared" ca="1" si="19"/>
        <v>16</v>
      </c>
      <c r="I585" s="52"/>
      <c r="J585" s="53">
        <v>15552</v>
      </c>
      <c r="K585" s="54">
        <v>4</v>
      </c>
    </row>
    <row r="586" spans="1:11" hidden="1" x14ac:dyDescent="0.25">
      <c r="A586" s="39" t="s">
        <v>918</v>
      </c>
      <c r="B586" s="46" t="s">
        <v>251</v>
      </c>
      <c r="C586" s="39" t="s">
        <v>856</v>
      </c>
      <c r="D586" s="142">
        <v>793373269</v>
      </c>
      <c r="E586" s="39" t="s">
        <v>247</v>
      </c>
      <c r="F586" s="81">
        <v>38027</v>
      </c>
      <c r="G586" s="105" t="str">
        <f t="shared" si="18"/>
        <v>Feb</v>
      </c>
      <c r="H586" s="51">
        <f t="shared" ca="1" si="19"/>
        <v>12</v>
      </c>
      <c r="I586" s="52"/>
      <c r="J586" s="53">
        <v>64590</v>
      </c>
      <c r="K586" s="54">
        <v>1</v>
      </c>
    </row>
    <row r="587" spans="1:11" hidden="1" x14ac:dyDescent="0.25">
      <c r="A587" s="39" t="s">
        <v>883</v>
      </c>
      <c r="B587" s="46" t="s">
        <v>285</v>
      </c>
      <c r="C587" s="39" t="s">
        <v>856</v>
      </c>
      <c r="D587" s="142">
        <v>654296101</v>
      </c>
      <c r="E587" s="39" t="s">
        <v>256</v>
      </c>
      <c r="F587" s="81">
        <v>40581</v>
      </c>
      <c r="G587" s="105" t="str">
        <f t="shared" si="18"/>
        <v>Feb</v>
      </c>
      <c r="H587" s="51">
        <f t="shared" ca="1" si="19"/>
        <v>5</v>
      </c>
      <c r="I587" s="52" t="s">
        <v>267</v>
      </c>
      <c r="J587" s="53">
        <v>80260</v>
      </c>
      <c r="K587" s="54">
        <v>3</v>
      </c>
    </row>
    <row r="588" spans="1:11" hidden="1" x14ac:dyDescent="0.25">
      <c r="A588" s="39" t="s">
        <v>876</v>
      </c>
      <c r="B588" s="46" t="s">
        <v>285</v>
      </c>
      <c r="C588" s="39" t="s">
        <v>856</v>
      </c>
      <c r="D588" s="142">
        <v>183936013</v>
      </c>
      <c r="E588" s="39" t="s">
        <v>256</v>
      </c>
      <c r="F588" s="81">
        <v>33685</v>
      </c>
      <c r="G588" s="105" t="str">
        <f t="shared" si="18"/>
        <v>Mar</v>
      </c>
      <c r="H588" s="51">
        <f t="shared" ca="1" si="19"/>
        <v>24</v>
      </c>
      <c r="I588" s="52" t="s">
        <v>257</v>
      </c>
      <c r="J588" s="53">
        <v>65571</v>
      </c>
      <c r="K588" s="54">
        <v>3</v>
      </c>
    </row>
    <row r="589" spans="1:11" hidden="1" x14ac:dyDescent="0.25">
      <c r="A589" s="39" t="s">
        <v>865</v>
      </c>
      <c r="B589" s="46" t="s">
        <v>285</v>
      </c>
      <c r="C589" s="39" t="s">
        <v>856</v>
      </c>
      <c r="D589" s="142">
        <v>452768809</v>
      </c>
      <c r="E589" s="39" t="s">
        <v>256</v>
      </c>
      <c r="F589" s="81">
        <v>35497</v>
      </c>
      <c r="G589" s="105" t="str">
        <f t="shared" si="18"/>
        <v>Mar</v>
      </c>
      <c r="H589" s="51">
        <f t="shared" ca="1" si="19"/>
        <v>19</v>
      </c>
      <c r="I589" s="52" t="s">
        <v>257</v>
      </c>
      <c r="J589" s="53">
        <v>78710</v>
      </c>
      <c r="K589" s="54">
        <v>4</v>
      </c>
    </row>
    <row r="590" spans="1:11" x14ac:dyDescent="0.25">
      <c r="A590" s="39" t="s">
        <v>863</v>
      </c>
      <c r="B590" s="46" t="s">
        <v>271</v>
      </c>
      <c r="C590" s="39" t="s">
        <v>856</v>
      </c>
      <c r="D590" s="142">
        <v>463668739</v>
      </c>
      <c r="E590" s="39" t="s">
        <v>252</v>
      </c>
      <c r="F590" s="81">
        <v>35861</v>
      </c>
      <c r="G590" s="105" t="str">
        <f t="shared" si="18"/>
        <v>Mar</v>
      </c>
      <c r="H590" s="51">
        <f t="shared" ca="1" si="19"/>
        <v>18</v>
      </c>
      <c r="I590" s="52"/>
      <c r="J590" s="53">
        <v>12836</v>
      </c>
      <c r="K590" s="54">
        <v>5</v>
      </c>
    </row>
    <row r="591" spans="1:11" hidden="1" x14ac:dyDescent="0.25">
      <c r="A591" s="39" t="s">
        <v>921</v>
      </c>
      <c r="B591" s="46" t="s">
        <v>245</v>
      </c>
      <c r="C591" s="39" t="s">
        <v>856</v>
      </c>
      <c r="D591" s="142">
        <v>874789888</v>
      </c>
      <c r="E591" s="39" t="s">
        <v>252</v>
      </c>
      <c r="F591" s="81">
        <v>35869</v>
      </c>
      <c r="G591" s="105" t="str">
        <f t="shared" si="18"/>
        <v>Mar</v>
      </c>
      <c r="H591" s="51">
        <f t="shared" ca="1" si="19"/>
        <v>18</v>
      </c>
      <c r="I591" s="52"/>
      <c r="J591" s="53">
        <v>17912</v>
      </c>
      <c r="K591" s="54">
        <v>5</v>
      </c>
    </row>
    <row r="592" spans="1:11" hidden="1" x14ac:dyDescent="0.25">
      <c r="A592" s="39" t="s">
        <v>917</v>
      </c>
      <c r="B592" s="46" t="s">
        <v>285</v>
      </c>
      <c r="C592" s="39" t="s">
        <v>856</v>
      </c>
      <c r="D592" s="142">
        <v>534438045</v>
      </c>
      <c r="E592" s="39" t="s">
        <v>256</v>
      </c>
      <c r="F592" s="81">
        <v>36245</v>
      </c>
      <c r="G592" s="105" t="str">
        <f t="shared" si="18"/>
        <v>Mar</v>
      </c>
      <c r="H592" s="51">
        <f t="shared" ca="1" si="19"/>
        <v>17</v>
      </c>
      <c r="I592" s="52" t="s">
        <v>257</v>
      </c>
      <c r="J592" s="53">
        <v>58410</v>
      </c>
      <c r="K592" s="54">
        <v>5</v>
      </c>
    </row>
    <row r="593" spans="1:11" hidden="1" x14ac:dyDescent="0.25">
      <c r="A593" s="39" t="s">
        <v>870</v>
      </c>
      <c r="B593" s="46" t="s">
        <v>285</v>
      </c>
      <c r="C593" s="39" t="s">
        <v>856</v>
      </c>
      <c r="D593" s="142">
        <v>328161272</v>
      </c>
      <c r="E593" s="39" t="s">
        <v>247</v>
      </c>
      <c r="F593" s="81">
        <v>38793</v>
      </c>
      <c r="G593" s="105" t="str">
        <f t="shared" si="18"/>
        <v>Mar</v>
      </c>
      <c r="H593" s="51">
        <f t="shared" ca="1" si="19"/>
        <v>10</v>
      </c>
      <c r="I593" s="52"/>
      <c r="J593" s="53">
        <v>85930</v>
      </c>
      <c r="K593" s="54">
        <v>2</v>
      </c>
    </row>
    <row r="594" spans="1:11" hidden="1" x14ac:dyDescent="0.25">
      <c r="A594" s="39" t="s">
        <v>922</v>
      </c>
      <c r="B594" s="46" t="s">
        <v>245</v>
      </c>
      <c r="C594" s="39" t="s">
        <v>856</v>
      </c>
      <c r="D594" s="142">
        <v>263877585</v>
      </c>
      <c r="E594" s="39" t="s">
        <v>256</v>
      </c>
      <c r="F594" s="81">
        <v>39153</v>
      </c>
      <c r="G594" s="105" t="str">
        <f t="shared" si="18"/>
        <v>Mar</v>
      </c>
      <c r="H594" s="51">
        <f t="shared" ca="1" si="19"/>
        <v>9</v>
      </c>
      <c r="I594" s="52" t="s">
        <v>283</v>
      </c>
      <c r="J594" s="53">
        <v>43600</v>
      </c>
      <c r="K594" s="54">
        <v>5</v>
      </c>
    </row>
    <row r="595" spans="1:11" hidden="1" x14ac:dyDescent="0.25">
      <c r="A595" s="39" t="s">
        <v>909</v>
      </c>
      <c r="B595" s="46" t="s">
        <v>285</v>
      </c>
      <c r="C595" s="39" t="s">
        <v>856</v>
      </c>
      <c r="D595" s="142">
        <v>499984037</v>
      </c>
      <c r="E595" s="39" t="s">
        <v>256</v>
      </c>
      <c r="F595" s="81">
        <v>33711</v>
      </c>
      <c r="G595" s="105" t="str">
        <f t="shared" si="18"/>
        <v>Apr</v>
      </c>
      <c r="H595" s="51">
        <f t="shared" ca="1" si="19"/>
        <v>24</v>
      </c>
      <c r="I595" s="52" t="s">
        <v>257</v>
      </c>
      <c r="J595" s="53">
        <v>68470</v>
      </c>
      <c r="K595" s="54">
        <v>4</v>
      </c>
    </row>
    <row r="596" spans="1:11" hidden="1" x14ac:dyDescent="0.25">
      <c r="A596" s="39" t="s">
        <v>916</v>
      </c>
      <c r="B596" s="46" t="s">
        <v>285</v>
      </c>
      <c r="C596" s="39" t="s">
        <v>856</v>
      </c>
      <c r="D596" s="142">
        <v>878579075</v>
      </c>
      <c r="E596" s="39" t="s">
        <v>256</v>
      </c>
      <c r="F596" s="81">
        <v>34800</v>
      </c>
      <c r="G596" s="105" t="str">
        <f t="shared" si="18"/>
        <v>Apr</v>
      </c>
      <c r="H596" s="51">
        <f t="shared" ca="1" si="19"/>
        <v>21</v>
      </c>
      <c r="I596" s="52" t="s">
        <v>262</v>
      </c>
      <c r="J596" s="53">
        <v>82700</v>
      </c>
      <c r="K596" s="54">
        <v>3</v>
      </c>
    </row>
    <row r="597" spans="1:11" hidden="1" x14ac:dyDescent="0.25">
      <c r="A597" s="39" t="s">
        <v>886</v>
      </c>
      <c r="B597" s="46" t="s">
        <v>285</v>
      </c>
      <c r="C597" s="39" t="s">
        <v>856</v>
      </c>
      <c r="D597" s="142">
        <v>170403932</v>
      </c>
      <c r="E597" s="39" t="s">
        <v>256</v>
      </c>
      <c r="F597" s="81">
        <v>35896</v>
      </c>
      <c r="G597" s="105" t="str">
        <f t="shared" si="18"/>
        <v>Apr</v>
      </c>
      <c r="H597" s="51">
        <f t="shared" ca="1" si="19"/>
        <v>18</v>
      </c>
      <c r="I597" s="52" t="s">
        <v>283</v>
      </c>
      <c r="J597" s="53">
        <v>70280</v>
      </c>
      <c r="K597" s="54">
        <v>3</v>
      </c>
    </row>
    <row r="598" spans="1:11" x14ac:dyDescent="0.25">
      <c r="A598" s="39" t="s">
        <v>882</v>
      </c>
      <c r="B598" s="46" t="s">
        <v>271</v>
      </c>
      <c r="C598" s="39" t="s">
        <v>856</v>
      </c>
      <c r="D598" s="142">
        <v>161743192</v>
      </c>
      <c r="E598" s="39" t="s">
        <v>247</v>
      </c>
      <c r="F598" s="81">
        <v>36642</v>
      </c>
      <c r="G598" s="105" t="str">
        <f t="shared" si="18"/>
        <v>Apr</v>
      </c>
      <c r="H598" s="51">
        <f t="shared" ca="1" si="19"/>
        <v>16</v>
      </c>
      <c r="I598" s="52"/>
      <c r="J598" s="53">
        <v>77760</v>
      </c>
      <c r="K598" s="54">
        <v>3</v>
      </c>
    </row>
    <row r="599" spans="1:11" hidden="1" x14ac:dyDescent="0.25">
      <c r="A599" s="39" t="s">
        <v>897</v>
      </c>
      <c r="B599" s="46" t="s">
        <v>285</v>
      </c>
      <c r="C599" s="39" t="s">
        <v>856</v>
      </c>
      <c r="D599" s="142">
        <v>342757851</v>
      </c>
      <c r="E599" s="39" t="s">
        <v>256</v>
      </c>
      <c r="F599" s="81">
        <v>35569</v>
      </c>
      <c r="G599" s="105" t="str">
        <f t="shared" si="18"/>
        <v>May</v>
      </c>
      <c r="H599" s="51">
        <f t="shared" ca="1" si="19"/>
        <v>19</v>
      </c>
      <c r="I599" s="52" t="s">
        <v>283</v>
      </c>
      <c r="J599" s="53">
        <v>37770</v>
      </c>
      <c r="K599" s="54">
        <v>5</v>
      </c>
    </row>
    <row r="600" spans="1:11" hidden="1" x14ac:dyDescent="0.25">
      <c r="A600" s="39" t="s">
        <v>859</v>
      </c>
      <c r="B600" s="46" t="s">
        <v>245</v>
      </c>
      <c r="C600" s="39" t="s">
        <v>856</v>
      </c>
      <c r="D600" s="142">
        <v>540009487</v>
      </c>
      <c r="E600" s="39" t="s">
        <v>256</v>
      </c>
      <c r="F600" s="81">
        <v>36290</v>
      </c>
      <c r="G600" s="105" t="str">
        <f t="shared" si="18"/>
        <v>May</v>
      </c>
      <c r="H600" s="51">
        <f t="shared" ca="1" si="19"/>
        <v>17</v>
      </c>
      <c r="I600" s="52" t="s">
        <v>283</v>
      </c>
      <c r="J600" s="53">
        <v>39000</v>
      </c>
      <c r="K600" s="54">
        <v>3</v>
      </c>
    </row>
    <row r="601" spans="1:11" hidden="1" x14ac:dyDescent="0.25">
      <c r="A601" s="39" t="s">
        <v>880</v>
      </c>
      <c r="B601" s="46" t="s">
        <v>285</v>
      </c>
      <c r="C601" s="39" t="s">
        <v>856</v>
      </c>
      <c r="D601" s="142">
        <v>796442491</v>
      </c>
      <c r="E601" s="39" t="s">
        <v>256</v>
      </c>
      <c r="F601" s="81">
        <v>36312</v>
      </c>
      <c r="G601" s="105" t="str">
        <f t="shared" si="18"/>
        <v>Jun</v>
      </c>
      <c r="H601" s="51">
        <f t="shared" ca="1" si="19"/>
        <v>17</v>
      </c>
      <c r="I601" s="52" t="s">
        <v>257</v>
      </c>
      <c r="J601" s="53">
        <v>69200</v>
      </c>
      <c r="K601" s="54">
        <v>4</v>
      </c>
    </row>
    <row r="602" spans="1:11" hidden="1" x14ac:dyDescent="0.25">
      <c r="A602" s="39" t="s">
        <v>914</v>
      </c>
      <c r="B602" s="46" t="s">
        <v>245</v>
      </c>
      <c r="C602" s="39" t="s">
        <v>856</v>
      </c>
      <c r="D602" s="142">
        <v>447613866</v>
      </c>
      <c r="E602" s="39" t="s">
        <v>261</v>
      </c>
      <c r="F602" s="81">
        <v>37775</v>
      </c>
      <c r="G602" s="105" t="str">
        <f t="shared" si="18"/>
        <v>Jun</v>
      </c>
      <c r="H602" s="51">
        <f t="shared" ca="1" si="19"/>
        <v>13</v>
      </c>
      <c r="I602" s="52" t="s">
        <v>262</v>
      </c>
      <c r="J602" s="53">
        <v>28525</v>
      </c>
      <c r="K602" s="54">
        <v>4</v>
      </c>
    </row>
    <row r="603" spans="1:11" hidden="1" x14ac:dyDescent="0.25">
      <c r="A603" s="39" t="s">
        <v>906</v>
      </c>
      <c r="B603" s="46" t="s">
        <v>280</v>
      </c>
      <c r="C603" s="39" t="s">
        <v>856</v>
      </c>
      <c r="D603" s="142">
        <v>934612546</v>
      </c>
      <c r="E603" s="39" t="s">
        <v>256</v>
      </c>
      <c r="F603" s="81">
        <v>37793</v>
      </c>
      <c r="G603" s="105" t="str">
        <f t="shared" si="18"/>
        <v>Jun</v>
      </c>
      <c r="H603" s="51">
        <f t="shared" ca="1" si="19"/>
        <v>13</v>
      </c>
      <c r="I603" s="52" t="s">
        <v>257</v>
      </c>
      <c r="J603" s="53">
        <v>29210</v>
      </c>
      <c r="K603" s="54">
        <v>5</v>
      </c>
    </row>
    <row r="604" spans="1:11" x14ac:dyDescent="0.25">
      <c r="A604" s="39" t="s">
        <v>891</v>
      </c>
      <c r="B604" s="46" t="s">
        <v>271</v>
      </c>
      <c r="C604" s="39" t="s">
        <v>856</v>
      </c>
      <c r="D604" s="142">
        <v>113844527</v>
      </c>
      <c r="E604" s="39" t="s">
        <v>247</v>
      </c>
      <c r="F604" s="81">
        <v>40350</v>
      </c>
      <c r="G604" s="105" t="str">
        <f t="shared" si="18"/>
        <v>Jun</v>
      </c>
      <c r="H604" s="51">
        <f t="shared" ca="1" si="19"/>
        <v>6</v>
      </c>
      <c r="I604" s="52"/>
      <c r="J604" s="53">
        <v>21580</v>
      </c>
      <c r="K604" s="54">
        <v>3</v>
      </c>
    </row>
    <row r="605" spans="1:11" x14ac:dyDescent="0.25">
      <c r="A605" s="39" t="s">
        <v>896</v>
      </c>
      <c r="B605" s="46" t="s">
        <v>271</v>
      </c>
      <c r="C605" s="39" t="s">
        <v>856</v>
      </c>
      <c r="D605" s="142">
        <v>277399035</v>
      </c>
      <c r="E605" s="39" t="s">
        <v>247</v>
      </c>
      <c r="F605" s="81">
        <v>33421</v>
      </c>
      <c r="G605" s="105" t="str">
        <f t="shared" si="18"/>
        <v>Jul</v>
      </c>
      <c r="H605" s="51">
        <f t="shared" ca="1" si="19"/>
        <v>25</v>
      </c>
      <c r="I605" s="52"/>
      <c r="J605" s="53">
        <v>46650</v>
      </c>
      <c r="K605" s="54">
        <v>2</v>
      </c>
    </row>
    <row r="606" spans="1:11" hidden="1" x14ac:dyDescent="0.25">
      <c r="A606" s="39" t="s">
        <v>875</v>
      </c>
      <c r="B606" s="46" t="s">
        <v>285</v>
      </c>
      <c r="C606" s="39" t="s">
        <v>856</v>
      </c>
      <c r="D606" s="142">
        <v>180744338</v>
      </c>
      <c r="E606" s="39" t="s">
        <v>256</v>
      </c>
      <c r="F606" s="81">
        <v>34160</v>
      </c>
      <c r="G606" s="105" t="str">
        <f t="shared" si="18"/>
        <v>Jul</v>
      </c>
      <c r="H606" s="51">
        <f t="shared" ca="1" si="19"/>
        <v>23</v>
      </c>
      <c r="I606" s="52" t="s">
        <v>257</v>
      </c>
      <c r="J606" s="53">
        <v>54200</v>
      </c>
      <c r="K606" s="54">
        <v>4</v>
      </c>
    </row>
    <row r="607" spans="1:11" x14ac:dyDescent="0.25">
      <c r="A607" s="39" t="s">
        <v>867</v>
      </c>
      <c r="B607" s="46" t="s">
        <v>271</v>
      </c>
      <c r="C607" s="39" t="s">
        <v>856</v>
      </c>
      <c r="D607" s="142">
        <v>812742633</v>
      </c>
      <c r="E607" s="39" t="s">
        <v>252</v>
      </c>
      <c r="F607" s="81">
        <v>34180</v>
      </c>
      <c r="G607" s="105" t="str">
        <f t="shared" si="18"/>
        <v>Jul</v>
      </c>
      <c r="H607" s="51">
        <f t="shared" ca="1" si="19"/>
        <v>23</v>
      </c>
      <c r="I607" s="52"/>
      <c r="J607" s="53">
        <v>26484</v>
      </c>
      <c r="K607" s="54">
        <v>5</v>
      </c>
    </row>
    <row r="608" spans="1:11" hidden="1" x14ac:dyDescent="0.25">
      <c r="A608" s="39" t="s">
        <v>913</v>
      </c>
      <c r="B608" s="46" t="s">
        <v>245</v>
      </c>
      <c r="C608" s="39" t="s">
        <v>856</v>
      </c>
      <c r="D608" s="142">
        <v>370085368</v>
      </c>
      <c r="E608" s="39" t="s">
        <v>256</v>
      </c>
      <c r="F608" s="81">
        <v>36360</v>
      </c>
      <c r="G608" s="105" t="str">
        <f t="shared" si="18"/>
        <v>Jul</v>
      </c>
      <c r="H608" s="51">
        <f t="shared" ca="1" si="19"/>
        <v>17</v>
      </c>
      <c r="I608" s="52" t="s">
        <v>283</v>
      </c>
      <c r="J608" s="53">
        <v>67020</v>
      </c>
      <c r="K608" s="54">
        <v>1</v>
      </c>
    </row>
    <row r="609" spans="1:11" hidden="1" x14ac:dyDescent="0.25">
      <c r="A609" s="39" t="s">
        <v>926</v>
      </c>
      <c r="B609" s="46" t="s">
        <v>251</v>
      </c>
      <c r="C609" s="39" t="s">
        <v>856</v>
      </c>
      <c r="D609" s="142">
        <v>445214773</v>
      </c>
      <c r="E609" s="39" t="s">
        <v>247</v>
      </c>
      <c r="F609" s="81">
        <v>37082</v>
      </c>
      <c r="G609" s="105" t="str">
        <f t="shared" si="18"/>
        <v>Jul</v>
      </c>
      <c r="H609" s="51">
        <f t="shared" ca="1" si="19"/>
        <v>15</v>
      </c>
      <c r="I609" s="52"/>
      <c r="J609" s="53">
        <v>46780</v>
      </c>
      <c r="K609" s="54">
        <v>2</v>
      </c>
    </row>
    <row r="610" spans="1:11" hidden="1" x14ac:dyDescent="0.25">
      <c r="A610" s="39" t="s">
        <v>881</v>
      </c>
      <c r="B610" s="46" t="s">
        <v>280</v>
      </c>
      <c r="C610" s="39" t="s">
        <v>856</v>
      </c>
      <c r="D610" s="142">
        <v>851861797</v>
      </c>
      <c r="E610" s="39" t="s">
        <v>261</v>
      </c>
      <c r="F610" s="81">
        <v>37815</v>
      </c>
      <c r="G610" s="105" t="str">
        <f t="shared" si="18"/>
        <v>Jul</v>
      </c>
      <c r="H610" s="51">
        <f t="shared" ca="1" si="19"/>
        <v>13</v>
      </c>
      <c r="I610" s="52" t="s">
        <v>257</v>
      </c>
      <c r="J610" s="53">
        <v>48740</v>
      </c>
      <c r="K610" s="54">
        <v>1</v>
      </c>
    </row>
    <row r="611" spans="1:11" hidden="1" x14ac:dyDescent="0.25">
      <c r="A611" s="39" t="s">
        <v>923</v>
      </c>
      <c r="B611" s="46" t="s">
        <v>285</v>
      </c>
      <c r="C611" s="39" t="s">
        <v>856</v>
      </c>
      <c r="D611" s="142">
        <v>382324838</v>
      </c>
      <c r="E611" s="39" t="s">
        <v>256</v>
      </c>
      <c r="F611" s="81">
        <v>38902</v>
      </c>
      <c r="G611" s="105" t="str">
        <f t="shared" si="18"/>
        <v>Jul</v>
      </c>
      <c r="H611" s="51">
        <f t="shared" ca="1" si="19"/>
        <v>10</v>
      </c>
      <c r="I611" s="52" t="s">
        <v>257</v>
      </c>
      <c r="J611" s="53">
        <v>73560</v>
      </c>
      <c r="K611" s="54">
        <v>3</v>
      </c>
    </row>
    <row r="612" spans="1:11" hidden="1" x14ac:dyDescent="0.25">
      <c r="A612" s="39" t="s">
        <v>907</v>
      </c>
      <c r="B612" s="46" t="s">
        <v>251</v>
      </c>
      <c r="C612" s="39" t="s">
        <v>856</v>
      </c>
      <c r="D612" s="142">
        <v>921845293</v>
      </c>
      <c r="E612" s="39" t="s">
        <v>256</v>
      </c>
      <c r="F612" s="81">
        <v>33454</v>
      </c>
      <c r="G612" s="105" t="str">
        <f t="shared" si="18"/>
        <v>Aug</v>
      </c>
      <c r="H612" s="51">
        <f t="shared" ca="1" si="19"/>
        <v>25</v>
      </c>
      <c r="I612" s="52" t="s">
        <v>257</v>
      </c>
      <c r="J612" s="53">
        <v>67920</v>
      </c>
      <c r="K612" s="54">
        <v>4</v>
      </c>
    </row>
    <row r="613" spans="1:11" x14ac:dyDescent="0.25">
      <c r="A613" s="39" t="s">
        <v>902</v>
      </c>
      <c r="B613" s="46" t="s">
        <v>271</v>
      </c>
      <c r="C613" s="39" t="s">
        <v>856</v>
      </c>
      <c r="D613" s="142">
        <v>786729290</v>
      </c>
      <c r="E613" s="39" t="s">
        <v>256</v>
      </c>
      <c r="F613" s="81">
        <v>36012</v>
      </c>
      <c r="G613" s="105" t="str">
        <f t="shared" si="18"/>
        <v>Aug</v>
      </c>
      <c r="H613" s="51">
        <f t="shared" ca="1" si="19"/>
        <v>18</v>
      </c>
      <c r="I613" s="52" t="s">
        <v>262</v>
      </c>
      <c r="J613" s="53">
        <v>78950</v>
      </c>
      <c r="K613" s="54">
        <v>1</v>
      </c>
    </row>
    <row r="614" spans="1:11" x14ac:dyDescent="0.25">
      <c r="A614" s="39" t="s">
        <v>925</v>
      </c>
      <c r="B614" s="46" t="s">
        <v>271</v>
      </c>
      <c r="C614" s="39" t="s">
        <v>856</v>
      </c>
      <c r="D614" s="142">
        <v>403874356</v>
      </c>
      <c r="E614" s="39" t="s">
        <v>256</v>
      </c>
      <c r="F614" s="81">
        <v>33852</v>
      </c>
      <c r="G614" s="105" t="str">
        <f t="shared" si="18"/>
        <v>Sep</v>
      </c>
      <c r="H614" s="51">
        <f t="shared" ca="1" si="19"/>
        <v>24</v>
      </c>
      <c r="I614" s="52" t="s">
        <v>276</v>
      </c>
      <c r="J614" s="53">
        <v>86240</v>
      </c>
      <c r="K614" s="54">
        <v>1</v>
      </c>
    </row>
    <row r="615" spans="1:11" x14ac:dyDescent="0.25">
      <c r="A615" s="39" t="s">
        <v>877</v>
      </c>
      <c r="B615" s="46" t="s">
        <v>271</v>
      </c>
      <c r="C615" s="39" t="s">
        <v>856</v>
      </c>
      <c r="D615" s="142">
        <v>359336760</v>
      </c>
      <c r="E615" s="39" t="s">
        <v>261</v>
      </c>
      <c r="F615" s="81">
        <v>35688</v>
      </c>
      <c r="G615" s="105" t="str">
        <f t="shared" si="18"/>
        <v>Sep</v>
      </c>
      <c r="H615" s="51">
        <f t="shared" ca="1" si="19"/>
        <v>19</v>
      </c>
      <c r="I615" s="52" t="s">
        <v>283</v>
      </c>
      <c r="J615" s="53">
        <v>42740</v>
      </c>
      <c r="K615" s="54">
        <v>2</v>
      </c>
    </row>
    <row r="616" spans="1:11" x14ac:dyDescent="0.25">
      <c r="A616" s="39" t="s">
        <v>874</v>
      </c>
      <c r="B616" s="46" t="s">
        <v>271</v>
      </c>
      <c r="C616" s="39" t="s">
        <v>856</v>
      </c>
      <c r="D616" s="142">
        <v>468907604</v>
      </c>
      <c r="E616" s="39" t="s">
        <v>247</v>
      </c>
      <c r="F616" s="81">
        <v>36406</v>
      </c>
      <c r="G616" s="105" t="str">
        <f t="shared" si="18"/>
        <v>Sep</v>
      </c>
      <c r="H616" s="51">
        <f t="shared" ca="1" si="19"/>
        <v>17</v>
      </c>
      <c r="I616" s="52"/>
      <c r="J616" s="53">
        <v>60800</v>
      </c>
      <c r="K616" s="54">
        <v>4</v>
      </c>
    </row>
    <row r="617" spans="1:11" hidden="1" x14ac:dyDescent="0.25">
      <c r="A617" s="39" t="s">
        <v>871</v>
      </c>
      <c r="B617" s="46" t="s">
        <v>285</v>
      </c>
      <c r="C617" s="39" t="s">
        <v>856</v>
      </c>
      <c r="D617" s="142">
        <v>887658667</v>
      </c>
      <c r="E617" s="39" t="s">
        <v>256</v>
      </c>
      <c r="F617" s="81">
        <v>36407</v>
      </c>
      <c r="G617" s="105" t="str">
        <f t="shared" si="18"/>
        <v>Sep</v>
      </c>
      <c r="H617" s="51">
        <f t="shared" ca="1" si="19"/>
        <v>17</v>
      </c>
      <c r="I617" s="52" t="s">
        <v>262</v>
      </c>
      <c r="J617" s="53">
        <v>45880</v>
      </c>
      <c r="K617" s="54">
        <v>5</v>
      </c>
    </row>
    <row r="618" spans="1:11" hidden="1" x14ac:dyDescent="0.25">
      <c r="A618" s="39" t="s">
        <v>915</v>
      </c>
      <c r="B618" s="46" t="s">
        <v>285</v>
      </c>
      <c r="C618" s="39" t="s">
        <v>856</v>
      </c>
      <c r="D618" s="142">
        <v>555780449</v>
      </c>
      <c r="E618" s="39" t="s">
        <v>261</v>
      </c>
      <c r="F618" s="81">
        <v>36423</v>
      </c>
      <c r="G618" s="105" t="str">
        <f t="shared" si="18"/>
        <v>Sep</v>
      </c>
      <c r="H618" s="51">
        <f t="shared" ca="1" si="19"/>
        <v>17</v>
      </c>
      <c r="I618" s="52" t="s">
        <v>276</v>
      </c>
      <c r="J618" s="53">
        <v>47350</v>
      </c>
      <c r="K618" s="54">
        <v>1</v>
      </c>
    </row>
    <row r="619" spans="1:11" hidden="1" x14ac:dyDescent="0.25">
      <c r="A619" s="39" t="s">
        <v>910</v>
      </c>
      <c r="B619" s="46" t="s">
        <v>245</v>
      </c>
      <c r="C619" s="39" t="s">
        <v>856</v>
      </c>
      <c r="D619" s="142">
        <v>896226469</v>
      </c>
      <c r="E619" s="39" t="s">
        <v>256</v>
      </c>
      <c r="F619" s="81">
        <v>38237</v>
      </c>
      <c r="G619" s="105" t="str">
        <f t="shared" si="18"/>
        <v>Sep</v>
      </c>
      <c r="H619" s="51">
        <f t="shared" ca="1" si="19"/>
        <v>12</v>
      </c>
      <c r="I619" s="52" t="s">
        <v>283</v>
      </c>
      <c r="J619" s="53">
        <v>31910</v>
      </c>
      <c r="K619" s="54">
        <v>5</v>
      </c>
    </row>
    <row r="620" spans="1:11" hidden="1" x14ac:dyDescent="0.25">
      <c r="A620" s="39" t="s">
        <v>866</v>
      </c>
      <c r="B620" s="46" t="s">
        <v>285</v>
      </c>
      <c r="C620" s="39" t="s">
        <v>856</v>
      </c>
      <c r="D620" s="142">
        <v>737424567</v>
      </c>
      <c r="E620" s="39" t="s">
        <v>247</v>
      </c>
      <c r="F620" s="81">
        <v>39720</v>
      </c>
      <c r="G620" s="105" t="str">
        <f t="shared" si="18"/>
        <v>Sep</v>
      </c>
      <c r="H620" s="51">
        <f t="shared" ca="1" si="19"/>
        <v>8</v>
      </c>
      <c r="I620" s="52"/>
      <c r="J620" s="53">
        <v>43320</v>
      </c>
      <c r="K620" s="54">
        <v>5</v>
      </c>
    </row>
    <row r="621" spans="1:11" hidden="1" x14ac:dyDescent="0.25">
      <c r="A621" s="39" t="s">
        <v>892</v>
      </c>
      <c r="B621" s="46" t="s">
        <v>280</v>
      </c>
      <c r="C621" s="39" t="s">
        <v>856</v>
      </c>
      <c r="D621" s="142">
        <v>337947291</v>
      </c>
      <c r="E621" s="39" t="s">
        <v>256</v>
      </c>
      <c r="F621" s="81">
        <v>40078</v>
      </c>
      <c r="G621" s="105" t="str">
        <f t="shared" si="18"/>
        <v>Sep</v>
      </c>
      <c r="H621" s="51">
        <f t="shared" ca="1" si="19"/>
        <v>7</v>
      </c>
      <c r="I621" s="52" t="s">
        <v>283</v>
      </c>
      <c r="J621" s="53">
        <v>23190</v>
      </c>
      <c r="K621" s="54">
        <v>5</v>
      </c>
    </row>
    <row r="622" spans="1:11" hidden="1" x14ac:dyDescent="0.25">
      <c r="A622" s="39" t="s">
        <v>884</v>
      </c>
      <c r="B622" s="46" t="s">
        <v>266</v>
      </c>
      <c r="C622" s="39" t="s">
        <v>856</v>
      </c>
      <c r="D622" s="142">
        <v>646384550</v>
      </c>
      <c r="E622" s="39" t="s">
        <v>261</v>
      </c>
      <c r="F622" s="81">
        <v>33890</v>
      </c>
      <c r="G622" s="105" t="str">
        <f t="shared" si="18"/>
        <v>Oct</v>
      </c>
      <c r="H622" s="51">
        <f t="shared" ca="1" si="19"/>
        <v>24</v>
      </c>
      <c r="I622" s="52" t="s">
        <v>283</v>
      </c>
      <c r="J622" s="53">
        <v>25885</v>
      </c>
      <c r="K622" s="54">
        <v>5</v>
      </c>
    </row>
    <row r="623" spans="1:11" x14ac:dyDescent="0.25">
      <c r="A623" s="39" t="s">
        <v>885</v>
      </c>
      <c r="B623" s="46" t="s">
        <v>271</v>
      </c>
      <c r="C623" s="39" t="s">
        <v>856</v>
      </c>
      <c r="D623" s="142">
        <v>607760668</v>
      </c>
      <c r="E623" s="39" t="s">
        <v>256</v>
      </c>
      <c r="F623" s="81">
        <v>35356</v>
      </c>
      <c r="G623" s="105" t="str">
        <f t="shared" si="18"/>
        <v>Oct</v>
      </c>
      <c r="H623" s="51">
        <f t="shared" ca="1" si="19"/>
        <v>20</v>
      </c>
      <c r="I623" s="52" t="s">
        <v>262</v>
      </c>
      <c r="J623" s="53">
        <v>63030</v>
      </c>
      <c r="K623" s="54">
        <v>1</v>
      </c>
    </row>
    <row r="624" spans="1:11" hidden="1" x14ac:dyDescent="0.25">
      <c r="A624" s="39" t="s">
        <v>920</v>
      </c>
      <c r="B624" s="46" t="s">
        <v>280</v>
      </c>
      <c r="C624" s="39" t="s">
        <v>856</v>
      </c>
      <c r="D624" s="142">
        <v>618264331</v>
      </c>
      <c r="E624" s="39" t="s">
        <v>256</v>
      </c>
      <c r="F624" s="81">
        <v>35715</v>
      </c>
      <c r="G624" s="105" t="str">
        <f t="shared" si="18"/>
        <v>Oct</v>
      </c>
      <c r="H624" s="51">
        <f t="shared" ca="1" si="19"/>
        <v>19</v>
      </c>
      <c r="I624" s="52" t="s">
        <v>283</v>
      </c>
      <c r="J624" s="53">
        <v>32120</v>
      </c>
      <c r="K624" s="54">
        <v>1</v>
      </c>
    </row>
    <row r="625" spans="1:11" hidden="1" x14ac:dyDescent="0.25">
      <c r="A625" s="39" t="s">
        <v>900</v>
      </c>
      <c r="B625" s="46" t="s">
        <v>245</v>
      </c>
      <c r="C625" s="39" t="s">
        <v>856</v>
      </c>
      <c r="D625" s="142">
        <v>230328613</v>
      </c>
      <c r="E625" s="39" t="s">
        <v>247</v>
      </c>
      <c r="F625" s="81">
        <v>36070</v>
      </c>
      <c r="G625" s="105" t="str">
        <f t="shared" si="18"/>
        <v>Oct</v>
      </c>
      <c r="H625" s="51">
        <f t="shared" ca="1" si="19"/>
        <v>18</v>
      </c>
      <c r="I625" s="52"/>
      <c r="J625" s="53">
        <v>59050</v>
      </c>
      <c r="K625" s="54">
        <v>4</v>
      </c>
    </row>
    <row r="626" spans="1:11" x14ac:dyDescent="0.25">
      <c r="A626" s="39" t="s">
        <v>903</v>
      </c>
      <c r="B626" s="46" t="s">
        <v>271</v>
      </c>
      <c r="C626" s="39" t="s">
        <v>856</v>
      </c>
      <c r="D626" s="142">
        <v>797130365</v>
      </c>
      <c r="E626" s="39" t="s">
        <v>256</v>
      </c>
      <c r="F626" s="81">
        <v>36078</v>
      </c>
      <c r="G626" s="105" t="str">
        <f t="shared" si="18"/>
        <v>Oct</v>
      </c>
      <c r="H626" s="51">
        <f t="shared" ca="1" si="19"/>
        <v>18</v>
      </c>
      <c r="I626" s="52" t="s">
        <v>276</v>
      </c>
      <c r="J626" s="53">
        <v>79610</v>
      </c>
      <c r="K626" s="54">
        <v>2</v>
      </c>
    </row>
    <row r="627" spans="1:11" hidden="1" x14ac:dyDescent="0.25">
      <c r="A627" s="39" t="s">
        <v>899</v>
      </c>
      <c r="B627" s="46" t="s">
        <v>245</v>
      </c>
      <c r="C627" s="39" t="s">
        <v>856</v>
      </c>
      <c r="D627" s="142">
        <v>706909447</v>
      </c>
      <c r="E627" s="39" t="s">
        <v>256</v>
      </c>
      <c r="F627" s="81">
        <v>36081</v>
      </c>
      <c r="G627" s="105" t="str">
        <f t="shared" si="18"/>
        <v>Oct</v>
      </c>
      <c r="H627" s="51">
        <f t="shared" ca="1" si="19"/>
        <v>18</v>
      </c>
      <c r="I627" s="52" t="s">
        <v>283</v>
      </c>
      <c r="J627" s="53">
        <v>67407</v>
      </c>
      <c r="K627" s="54">
        <v>5</v>
      </c>
    </row>
    <row r="628" spans="1:11" hidden="1" x14ac:dyDescent="0.25">
      <c r="A628" s="39" t="s">
        <v>872</v>
      </c>
      <c r="B628" s="46" t="s">
        <v>285</v>
      </c>
      <c r="C628" s="39" t="s">
        <v>856</v>
      </c>
      <c r="D628" s="142">
        <v>540765423</v>
      </c>
      <c r="E628" s="39" t="s">
        <v>256</v>
      </c>
      <c r="F628" s="81">
        <v>39745</v>
      </c>
      <c r="G628" s="105" t="str">
        <f t="shared" si="18"/>
        <v>Oct</v>
      </c>
      <c r="H628" s="51">
        <f t="shared" ca="1" si="19"/>
        <v>8</v>
      </c>
      <c r="I628" s="52" t="s">
        <v>283</v>
      </c>
      <c r="J628" s="53">
        <v>29330</v>
      </c>
      <c r="K628" s="54">
        <v>5</v>
      </c>
    </row>
    <row r="629" spans="1:11" hidden="1" x14ac:dyDescent="0.25">
      <c r="A629" s="39" t="s">
        <v>904</v>
      </c>
      <c r="B629" s="46" t="s">
        <v>266</v>
      </c>
      <c r="C629" s="39" t="s">
        <v>856</v>
      </c>
      <c r="D629" s="142">
        <v>480119569</v>
      </c>
      <c r="E629" s="39" t="s">
        <v>256</v>
      </c>
      <c r="F629" s="81">
        <v>33548</v>
      </c>
      <c r="G629" s="105" t="str">
        <f t="shared" si="18"/>
        <v>Nov</v>
      </c>
      <c r="H629" s="51">
        <f t="shared" ca="1" si="19"/>
        <v>25</v>
      </c>
      <c r="I629" s="52" t="s">
        <v>283</v>
      </c>
      <c r="J629" s="53">
        <v>63050</v>
      </c>
      <c r="K629" s="54">
        <v>3</v>
      </c>
    </row>
    <row r="630" spans="1:11" hidden="1" x14ac:dyDescent="0.25">
      <c r="A630" s="39" t="s">
        <v>908</v>
      </c>
      <c r="B630" s="46" t="s">
        <v>285</v>
      </c>
      <c r="C630" s="39" t="s">
        <v>856</v>
      </c>
      <c r="D630" s="142">
        <v>361328372</v>
      </c>
      <c r="E630" s="39" t="s">
        <v>247</v>
      </c>
      <c r="F630" s="81">
        <v>33914</v>
      </c>
      <c r="G630" s="105" t="str">
        <f t="shared" si="18"/>
        <v>Nov</v>
      </c>
      <c r="H630" s="51">
        <f t="shared" ca="1" si="19"/>
        <v>24</v>
      </c>
      <c r="I630" s="52"/>
      <c r="J630" s="53">
        <v>55690</v>
      </c>
      <c r="K630" s="54">
        <v>2</v>
      </c>
    </row>
    <row r="631" spans="1:11" x14ac:dyDescent="0.25">
      <c r="A631" s="39" t="s">
        <v>928</v>
      </c>
      <c r="B631" s="46" t="s">
        <v>271</v>
      </c>
      <c r="C631" s="39" t="s">
        <v>856</v>
      </c>
      <c r="D631" s="142">
        <v>845008485</v>
      </c>
      <c r="E631" s="39" t="s">
        <v>256</v>
      </c>
      <c r="F631" s="81">
        <v>34285</v>
      </c>
      <c r="G631" s="105" t="str">
        <f t="shared" si="18"/>
        <v>Nov</v>
      </c>
      <c r="H631" s="51">
        <f t="shared" ca="1" si="19"/>
        <v>23</v>
      </c>
      <c r="I631" s="52" t="s">
        <v>267</v>
      </c>
      <c r="J631" s="53">
        <v>48490</v>
      </c>
      <c r="K631" s="54">
        <v>2</v>
      </c>
    </row>
    <row r="632" spans="1:11" x14ac:dyDescent="0.25">
      <c r="A632" s="39" t="s">
        <v>890</v>
      </c>
      <c r="B632" s="46" t="s">
        <v>271</v>
      </c>
      <c r="C632" s="39" t="s">
        <v>856</v>
      </c>
      <c r="D632" s="142">
        <v>264740780</v>
      </c>
      <c r="E632" s="39" t="s">
        <v>256</v>
      </c>
      <c r="F632" s="81">
        <v>35373</v>
      </c>
      <c r="G632" s="105" t="str">
        <f t="shared" si="18"/>
        <v>Nov</v>
      </c>
      <c r="H632" s="51">
        <f t="shared" ca="1" si="19"/>
        <v>20</v>
      </c>
      <c r="I632" s="52" t="s">
        <v>283</v>
      </c>
      <c r="J632" s="53">
        <v>66440</v>
      </c>
      <c r="K632" s="54">
        <v>3</v>
      </c>
    </row>
    <row r="633" spans="1:11" hidden="1" x14ac:dyDescent="0.25">
      <c r="A633" s="39" t="s">
        <v>873</v>
      </c>
      <c r="B633" s="46" t="s">
        <v>285</v>
      </c>
      <c r="C633" s="39" t="s">
        <v>856</v>
      </c>
      <c r="D633" s="142">
        <v>619905912</v>
      </c>
      <c r="E633" s="39" t="s">
        <v>247</v>
      </c>
      <c r="F633" s="81">
        <v>36479</v>
      </c>
      <c r="G633" s="105" t="str">
        <f t="shared" si="18"/>
        <v>Nov</v>
      </c>
      <c r="H633" s="51">
        <f t="shared" ca="1" si="19"/>
        <v>17</v>
      </c>
      <c r="I633" s="52"/>
      <c r="J633" s="53">
        <v>54840</v>
      </c>
      <c r="K633" s="54">
        <v>4</v>
      </c>
    </row>
    <row r="634" spans="1:11" hidden="1" x14ac:dyDescent="0.25">
      <c r="A634" s="39" t="s">
        <v>889</v>
      </c>
      <c r="B634" s="46" t="s">
        <v>285</v>
      </c>
      <c r="C634" s="39" t="s">
        <v>856</v>
      </c>
      <c r="D634" s="142">
        <v>152091002</v>
      </c>
      <c r="E634" s="39" t="s">
        <v>256</v>
      </c>
      <c r="F634" s="81">
        <v>33222</v>
      </c>
      <c r="G634" s="105" t="str">
        <f t="shared" si="18"/>
        <v>Dec</v>
      </c>
      <c r="H634" s="51">
        <f t="shared" ca="1" si="19"/>
        <v>25</v>
      </c>
      <c r="I634" s="52" t="s">
        <v>257</v>
      </c>
      <c r="J634" s="53">
        <v>53900</v>
      </c>
      <c r="K634" s="54">
        <v>5</v>
      </c>
    </row>
    <row r="635" spans="1:11" hidden="1" x14ac:dyDescent="0.25">
      <c r="A635" s="39" t="s">
        <v>887</v>
      </c>
      <c r="B635" s="46" t="s">
        <v>266</v>
      </c>
      <c r="C635" s="39" t="s">
        <v>856</v>
      </c>
      <c r="D635" s="142">
        <v>644279793</v>
      </c>
      <c r="E635" s="39" t="s">
        <v>252</v>
      </c>
      <c r="F635" s="81">
        <v>35034</v>
      </c>
      <c r="G635" s="105" t="str">
        <f t="shared" si="18"/>
        <v>Dec</v>
      </c>
      <c r="H635" s="51">
        <f t="shared" ca="1" si="19"/>
        <v>20</v>
      </c>
      <c r="I635" s="52"/>
      <c r="J635" s="53">
        <v>23692</v>
      </c>
      <c r="K635" s="54">
        <v>4</v>
      </c>
    </row>
    <row r="636" spans="1:11" x14ac:dyDescent="0.25">
      <c r="A636" s="39" t="s">
        <v>861</v>
      </c>
      <c r="B636" s="46" t="s">
        <v>271</v>
      </c>
      <c r="C636" s="39" t="s">
        <v>856</v>
      </c>
      <c r="D636" s="142">
        <v>395413381</v>
      </c>
      <c r="E636" s="39" t="s">
        <v>252</v>
      </c>
      <c r="F636" s="81">
        <v>35402</v>
      </c>
      <c r="G636" s="105" t="str">
        <f t="shared" si="18"/>
        <v>Dec</v>
      </c>
      <c r="H636" s="51">
        <f t="shared" ca="1" si="19"/>
        <v>19</v>
      </c>
      <c r="I636" s="52"/>
      <c r="J636" s="53">
        <v>33508</v>
      </c>
      <c r="K636" s="54">
        <v>4</v>
      </c>
    </row>
    <row r="637" spans="1:11" hidden="1" x14ac:dyDescent="0.25">
      <c r="A637" s="39" t="s">
        <v>924</v>
      </c>
      <c r="B637" s="46" t="s">
        <v>285</v>
      </c>
      <c r="C637" s="39" t="s">
        <v>856</v>
      </c>
      <c r="D637" s="142">
        <v>746970417</v>
      </c>
      <c r="E637" s="39" t="s">
        <v>256</v>
      </c>
      <c r="F637" s="81">
        <v>35408</v>
      </c>
      <c r="G637" s="105" t="str">
        <f t="shared" si="18"/>
        <v>Dec</v>
      </c>
      <c r="H637" s="51">
        <f t="shared" ca="1" si="19"/>
        <v>19</v>
      </c>
      <c r="I637" s="52" t="s">
        <v>283</v>
      </c>
      <c r="J637" s="53">
        <v>34330</v>
      </c>
      <c r="K637" s="54">
        <v>3</v>
      </c>
    </row>
    <row r="638" spans="1:11" hidden="1" x14ac:dyDescent="0.25">
      <c r="A638" s="39" t="s">
        <v>862</v>
      </c>
      <c r="B638" s="46" t="s">
        <v>266</v>
      </c>
      <c r="C638" s="39" t="s">
        <v>856</v>
      </c>
      <c r="D638" s="142">
        <v>785471565</v>
      </c>
      <c r="E638" s="39" t="s">
        <v>256</v>
      </c>
      <c r="F638" s="81">
        <v>36514</v>
      </c>
      <c r="G638" s="105" t="str">
        <f t="shared" si="18"/>
        <v>Dec</v>
      </c>
      <c r="H638" s="51">
        <f t="shared" ca="1" si="19"/>
        <v>16</v>
      </c>
      <c r="I638" s="52" t="s">
        <v>283</v>
      </c>
      <c r="J638" s="53">
        <v>48250</v>
      </c>
      <c r="K638" s="54">
        <v>3</v>
      </c>
    </row>
    <row r="639" spans="1:11" hidden="1" x14ac:dyDescent="0.25">
      <c r="A639" s="39" t="s">
        <v>952</v>
      </c>
      <c r="B639" s="46" t="s">
        <v>285</v>
      </c>
      <c r="C639" s="39" t="s">
        <v>930</v>
      </c>
      <c r="D639" s="142">
        <v>531015728</v>
      </c>
      <c r="E639" s="39" t="s">
        <v>247</v>
      </c>
      <c r="F639" s="81">
        <v>33974</v>
      </c>
      <c r="G639" s="105" t="str">
        <f t="shared" si="18"/>
        <v>Jan</v>
      </c>
      <c r="H639" s="51">
        <f t="shared" ca="1" si="19"/>
        <v>23</v>
      </c>
      <c r="I639" s="52"/>
      <c r="J639" s="53">
        <v>70150</v>
      </c>
      <c r="K639" s="54">
        <v>2</v>
      </c>
    </row>
    <row r="640" spans="1:11" x14ac:dyDescent="0.25">
      <c r="A640" s="39" t="s">
        <v>1002</v>
      </c>
      <c r="B640" s="46" t="s">
        <v>271</v>
      </c>
      <c r="C640" s="39" t="s">
        <v>930</v>
      </c>
      <c r="D640" s="142">
        <v>352099951</v>
      </c>
      <c r="E640" s="39" t="s">
        <v>247</v>
      </c>
      <c r="F640" s="81">
        <v>33977</v>
      </c>
      <c r="G640" s="105" t="str">
        <f t="shared" si="18"/>
        <v>Jan</v>
      </c>
      <c r="H640" s="51">
        <f t="shared" ca="1" si="19"/>
        <v>23</v>
      </c>
      <c r="I640" s="52"/>
      <c r="J640" s="53">
        <v>63290</v>
      </c>
      <c r="K640" s="54">
        <v>5</v>
      </c>
    </row>
    <row r="641" spans="1:11" hidden="1" x14ac:dyDescent="0.25">
      <c r="A641" s="39" t="s">
        <v>954</v>
      </c>
      <c r="B641" s="46" t="s">
        <v>280</v>
      </c>
      <c r="C641" s="39" t="s">
        <v>930</v>
      </c>
      <c r="D641" s="142">
        <v>760635495</v>
      </c>
      <c r="E641" s="39" t="s">
        <v>256</v>
      </c>
      <c r="F641" s="81">
        <v>33978</v>
      </c>
      <c r="G641" s="105" t="str">
        <f t="shared" si="18"/>
        <v>Jan</v>
      </c>
      <c r="H641" s="51">
        <f t="shared" ca="1" si="19"/>
        <v>23</v>
      </c>
      <c r="I641" s="52" t="s">
        <v>283</v>
      </c>
      <c r="J641" s="53">
        <v>46410</v>
      </c>
      <c r="K641" s="54">
        <v>2</v>
      </c>
    </row>
    <row r="642" spans="1:11" x14ac:dyDescent="0.25">
      <c r="A642" s="39" t="s">
        <v>974</v>
      </c>
      <c r="B642" s="46" t="s">
        <v>271</v>
      </c>
      <c r="C642" s="39" t="s">
        <v>930</v>
      </c>
      <c r="D642" s="142">
        <v>607570087</v>
      </c>
      <c r="E642" s="39" t="s">
        <v>247</v>
      </c>
      <c r="F642" s="81">
        <v>34723</v>
      </c>
      <c r="G642" s="105" t="str">
        <f t="shared" ref="G642:G705" si="20">CHOOSE(MONTH(F642),"Jan","Feb","Mar","Apr","May","Jun","Jul","Aug","Sep","Oct","Nov","Dec")</f>
        <v>Jan</v>
      </c>
      <c r="H642" s="51">
        <f t="shared" ref="H642:H705" ca="1" si="21">DATEDIF(F642,TODAY(),"Y")</f>
        <v>21</v>
      </c>
      <c r="I642" s="52"/>
      <c r="J642" s="53">
        <v>64263</v>
      </c>
      <c r="K642" s="54">
        <v>3</v>
      </c>
    </row>
    <row r="643" spans="1:11" hidden="1" x14ac:dyDescent="0.25">
      <c r="A643" s="39" t="s">
        <v>929</v>
      </c>
      <c r="B643" s="46" t="s">
        <v>285</v>
      </c>
      <c r="C643" s="39" t="s">
        <v>930</v>
      </c>
      <c r="D643" s="142">
        <v>617056019</v>
      </c>
      <c r="E643" s="39" t="s">
        <v>247</v>
      </c>
      <c r="F643" s="81">
        <v>35826</v>
      </c>
      <c r="G643" s="105" t="str">
        <f t="shared" si="20"/>
        <v>Jan</v>
      </c>
      <c r="H643" s="51">
        <f t="shared" ca="1" si="21"/>
        <v>18</v>
      </c>
      <c r="I643" s="52"/>
      <c r="J643" s="53">
        <v>45030</v>
      </c>
      <c r="K643" s="54">
        <v>3</v>
      </c>
    </row>
    <row r="644" spans="1:11" hidden="1" x14ac:dyDescent="0.25">
      <c r="A644" s="39" t="s">
        <v>931</v>
      </c>
      <c r="B644" s="46" t="s">
        <v>285</v>
      </c>
      <c r="C644" s="39" t="s">
        <v>930</v>
      </c>
      <c r="D644" s="142">
        <v>558379204</v>
      </c>
      <c r="E644" s="39" t="s">
        <v>256</v>
      </c>
      <c r="F644" s="81">
        <v>36549</v>
      </c>
      <c r="G644" s="105" t="str">
        <f t="shared" si="20"/>
        <v>Jan</v>
      </c>
      <c r="H644" s="51">
        <f t="shared" ca="1" si="21"/>
        <v>16</v>
      </c>
      <c r="I644" s="52" t="s">
        <v>283</v>
      </c>
      <c r="J644" s="53">
        <v>35460</v>
      </c>
      <c r="K644" s="54">
        <v>1</v>
      </c>
    </row>
    <row r="645" spans="1:11" hidden="1" x14ac:dyDescent="0.25">
      <c r="A645" s="39" t="s">
        <v>999</v>
      </c>
      <c r="B645" s="46" t="s">
        <v>285</v>
      </c>
      <c r="C645" s="39" t="s">
        <v>930</v>
      </c>
      <c r="D645" s="142">
        <v>636155403</v>
      </c>
      <c r="E645" s="39" t="s">
        <v>261</v>
      </c>
      <c r="F645" s="81">
        <v>36918</v>
      </c>
      <c r="G645" s="105" t="str">
        <f t="shared" si="20"/>
        <v>Jan</v>
      </c>
      <c r="H645" s="51">
        <f t="shared" ca="1" si="21"/>
        <v>15</v>
      </c>
      <c r="I645" s="52" t="s">
        <v>257</v>
      </c>
      <c r="J645" s="53">
        <v>17205</v>
      </c>
      <c r="K645" s="54">
        <v>5</v>
      </c>
    </row>
    <row r="646" spans="1:11" hidden="1" x14ac:dyDescent="0.25">
      <c r="A646" s="39" t="s">
        <v>973</v>
      </c>
      <c r="B646" s="46" t="s">
        <v>285</v>
      </c>
      <c r="C646" s="39" t="s">
        <v>930</v>
      </c>
      <c r="D646" s="142">
        <v>132170760</v>
      </c>
      <c r="E646" s="39" t="s">
        <v>247</v>
      </c>
      <c r="F646" s="103">
        <v>40563</v>
      </c>
      <c r="G646" s="105" t="str">
        <f t="shared" si="20"/>
        <v>Jan</v>
      </c>
      <c r="H646" s="51">
        <f t="shared" ca="1" si="21"/>
        <v>5</v>
      </c>
      <c r="I646" s="52"/>
      <c r="J646" s="53">
        <v>55510</v>
      </c>
      <c r="K646" s="54">
        <v>3</v>
      </c>
    </row>
    <row r="647" spans="1:11" hidden="1" x14ac:dyDescent="0.25">
      <c r="A647" s="39" t="s">
        <v>1014</v>
      </c>
      <c r="B647" s="46" t="s">
        <v>285</v>
      </c>
      <c r="C647" s="39" t="s">
        <v>930</v>
      </c>
      <c r="D647" s="142">
        <v>911819228</v>
      </c>
      <c r="E647" s="39" t="s">
        <v>256</v>
      </c>
      <c r="F647" s="81">
        <v>40568</v>
      </c>
      <c r="G647" s="105" t="str">
        <f t="shared" si="20"/>
        <v>Jan</v>
      </c>
      <c r="H647" s="51">
        <f t="shared" ca="1" si="21"/>
        <v>5</v>
      </c>
      <c r="I647" s="52" t="s">
        <v>257</v>
      </c>
      <c r="J647" s="53">
        <v>46390</v>
      </c>
      <c r="K647" s="54">
        <v>5</v>
      </c>
    </row>
    <row r="648" spans="1:11" x14ac:dyDescent="0.25">
      <c r="A648" s="39" t="s">
        <v>978</v>
      </c>
      <c r="B648" s="46" t="s">
        <v>271</v>
      </c>
      <c r="C648" s="39" t="s">
        <v>930</v>
      </c>
      <c r="D648" s="142">
        <v>238707474</v>
      </c>
      <c r="E648" s="39" t="s">
        <v>256</v>
      </c>
      <c r="F648" s="81">
        <v>33279</v>
      </c>
      <c r="G648" s="105" t="str">
        <f t="shared" si="20"/>
        <v>Feb</v>
      </c>
      <c r="H648" s="51">
        <f t="shared" ca="1" si="21"/>
        <v>25</v>
      </c>
      <c r="I648" s="52" t="s">
        <v>257</v>
      </c>
      <c r="J648" s="53">
        <v>24200</v>
      </c>
      <c r="K648" s="54">
        <v>5</v>
      </c>
    </row>
    <row r="649" spans="1:11" hidden="1" x14ac:dyDescent="0.25">
      <c r="A649" s="39" t="s">
        <v>1012</v>
      </c>
      <c r="B649" s="46" t="s">
        <v>285</v>
      </c>
      <c r="C649" s="39" t="s">
        <v>930</v>
      </c>
      <c r="D649" s="142">
        <v>996832302</v>
      </c>
      <c r="E649" s="39" t="s">
        <v>261</v>
      </c>
      <c r="F649" s="81">
        <v>34005</v>
      </c>
      <c r="G649" s="105" t="str">
        <f t="shared" si="20"/>
        <v>Feb</v>
      </c>
      <c r="H649" s="51">
        <f t="shared" ca="1" si="21"/>
        <v>23</v>
      </c>
      <c r="I649" s="52" t="s">
        <v>257</v>
      </c>
      <c r="J649" s="53">
        <v>19935</v>
      </c>
      <c r="K649" s="54">
        <v>1</v>
      </c>
    </row>
    <row r="650" spans="1:11" hidden="1" x14ac:dyDescent="0.25">
      <c r="A650" s="39" t="s">
        <v>966</v>
      </c>
      <c r="B650" s="46" t="s">
        <v>285</v>
      </c>
      <c r="C650" s="39" t="s">
        <v>930</v>
      </c>
      <c r="D650" s="142">
        <v>129378102</v>
      </c>
      <c r="E650" s="39" t="s">
        <v>261</v>
      </c>
      <c r="F650" s="81">
        <v>35466</v>
      </c>
      <c r="G650" s="105" t="str">
        <f t="shared" si="20"/>
        <v>Feb</v>
      </c>
      <c r="H650" s="51">
        <f t="shared" ca="1" si="21"/>
        <v>19</v>
      </c>
      <c r="I650" s="52" t="s">
        <v>262</v>
      </c>
      <c r="J650" s="53">
        <v>37660</v>
      </c>
      <c r="K650" s="54">
        <v>4</v>
      </c>
    </row>
    <row r="651" spans="1:11" hidden="1" x14ac:dyDescent="0.25">
      <c r="A651" s="39" t="s">
        <v>934</v>
      </c>
      <c r="B651" s="46" t="s">
        <v>245</v>
      </c>
      <c r="C651" s="39" t="s">
        <v>930</v>
      </c>
      <c r="D651" s="142">
        <v>128951509</v>
      </c>
      <c r="E651" s="39" t="s">
        <v>247</v>
      </c>
      <c r="F651" s="81">
        <v>36193</v>
      </c>
      <c r="G651" s="105" t="str">
        <f t="shared" si="20"/>
        <v>Feb</v>
      </c>
      <c r="H651" s="51">
        <f t="shared" ca="1" si="21"/>
        <v>17</v>
      </c>
      <c r="I651" s="52"/>
      <c r="J651" s="53">
        <v>58250</v>
      </c>
      <c r="K651" s="54">
        <v>2</v>
      </c>
    </row>
    <row r="652" spans="1:11" hidden="1" x14ac:dyDescent="0.25">
      <c r="A652" s="39" t="s">
        <v>949</v>
      </c>
      <c r="B652" s="46" t="s">
        <v>285</v>
      </c>
      <c r="C652" s="39" t="s">
        <v>930</v>
      </c>
      <c r="D652" s="142">
        <v>218107434</v>
      </c>
      <c r="E652" s="39" t="s">
        <v>247</v>
      </c>
      <c r="F652" s="81">
        <v>40235</v>
      </c>
      <c r="G652" s="105" t="str">
        <f t="shared" si="20"/>
        <v>Feb</v>
      </c>
      <c r="H652" s="51">
        <f t="shared" ca="1" si="21"/>
        <v>6</v>
      </c>
      <c r="I652" s="52"/>
      <c r="J652" s="53">
        <v>80729</v>
      </c>
      <c r="K652" s="54">
        <v>3</v>
      </c>
    </row>
    <row r="653" spans="1:11" hidden="1" x14ac:dyDescent="0.25">
      <c r="A653" s="39" t="s">
        <v>980</v>
      </c>
      <c r="B653" s="46" t="s">
        <v>285</v>
      </c>
      <c r="C653" s="39" t="s">
        <v>930</v>
      </c>
      <c r="D653" s="142">
        <v>499586882</v>
      </c>
      <c r="E653" s="39" t="s">
        <v>256</v>
      </c>
      <c r="F653" s="81">
        <v>33681</v>
      </c>
      <c r="G653" s="105" t="str">
        <f t="shared" si="20"/>
        <v>Mar</v>
      </c>
      <c r="H653" s="51">
        <f t="shared" ca="1" si="21"/>
        <v>24</v>
      </c>
      <c r="I653" s="52" t="s">
        <v>262</v>
      </c>
      <c r="J653" s="53">
        <v>46550</v>
      </c>
      <c r="K653" s="54">
        <v>4</v>
      </c>
    </row>
    <row r="654" spans="1:11" x14ac:dyDescent="0.25">
      <c r="A654" s="39" t="s">
        <v>987</v>
      </c>
      <c r="B654" s="46" t="s">
        <v>271</v>
      </c>
      <c r="C654" s="39" t="s">
        <v>930</v>
      </c>
      <c r="D654" s="142">
        <v>464496425</v>
      </c>
      <c r="E654" s="39" t="s">
        <v>261</v>
      </c>
      <c r="F654" s="81">
        <v>34042</v>
      </c>
      <c r="G654" s="105" t="str">
        <f t="shared" si="20"/>
        <v>Mar</v>
      </c>
      <c r="H654" s="51">
        <f t="shared" ca="1" si="21"/>
        <v>23</v>
      </c>
      <c r="I654" s="52" t="s">
        <v>267</v>
      </c>
      <c r="J654" s="53">
        <v>27710</v>
      </c>
      <c r="K654" s="54">
        <v>3</v>
      </c>
    </row>
    <row r="655" spans="1:11" hidden="1" x14ac:dyDescent="0.25">
      <c r="A655" s="39" t="s">
        <v>1000</v>
      </c>
      <c r="B655" s="46" t="s">
        <v>285</v>
      </c>
      <c r="C655" s="39" t="s">
        <v>930</v>
      </c>
      <c r="D655" s="142">
        <v>478066038</v>
      </c>
      <c r="E655" s="39" t="s">
        <v>256</v>
      </c>
      <c r="F655" s="81">
        <v>35137</v>
      </c>
      <c r="G655" s="105" t="str">
        <f t="shared" si="20"/>
        <v>Mar</v>
      </c>
      <c r="H655" s="51">
        <f t="shared" ca="1" si="21"/>
        <v>20</v>
      </c>
      <c r="I655" s="52" t="s">
        <v>283</v>
      </c>
      <c r="J655" s="53">
        <v>33590</v>
      </c>
      <c r="K655" s="54">
        <v>5</v>
      </c>
    </row>
    <row r="656" spans="1:11" hidden="1" x14ac:dyDescent="0.25">
      <c r="A656" s="39" t="s">
        <v>977</v>
      </c>
      <c r="B656" s="46" t="s">
        <v>245</v>
      </c>
      <c r="C656" s="39" t="s">
        <v>930</v>
      </c>
      <c r="D656" s="142">
        <v>843377360</v>
      </c>
      <c r="E656" s="39" t="s">
        <v>261</v>
      </c>
      <c r="F656" s="81">
        <v>35518</v>
      </c>
      <c r="G656" s="105" t="str">
        <f t="shared" si="20"/>
        <v>Mar</v>
      </c>
      <c r="H656" s="51">
        <f t="shared" ca="1" si="21"/>
        <v>19</v>
      </c>
      <c r="I656" s="52" t="s">
        <v>262</v>
      </c>
      <c r="J656" s="53">
        <v>13690</v>
      </c>
      <c r="K656" s="54">
        <v>5</v>
      </c>
    </row>
    <row r="657" spans="1:11" hidden="1" x14ac:dyDescent="0.25">
      <c r="A657" s="39" t="s">
        <v>996</v>
      </c>
      <c r="B657" s="46" t="s">
        <v>280</v>
      </c>
      <c r="C657" s="39" t="s">
        <v>930</v>
      </c>
      <c r="D657" s="142">
        <v>903395858</v>
      </c>
      <c r="E657" s="39" t="s">
        <v>256</v>
      </c>
      <c r="F657" s="81">
        <v>36243</v>
      </c>
      <c r="G657" s="105" t="str">
        <f t="shared" si="20"/>
        <v>Mar</v>
      </c>
      <c r="H657" s="51">
        <f t="shared" ca="1" si="21"/>
        <v>17</v>
      </c>
      <c r="I657" s="52" t="s">
        <v>276</v>
      </c>
      <c r="J657" s="53">
        <v>77680</v>
      </c>
      <c r="K657" s="54">
        <v>3</v>
      </c>
    </row>
    <row r="658" spans="1:11" hidden="1" x14ac:dyDescent="0.25">
      <c r="A658" s="39" t="s">
        <v>945</v>
      </c>
      <c r="B658" s="46" t="s">
        <v>285</v>
      </c>
      <c r="C658" s="39" t="s">
        <v>930</v>
      </c>
      <c r="D658" s="142">
        <v>842823697</v>
      </c>
      <c r="E658" s="39" t="s">
        <v>256</v>
      </c>
      <c r="F658" s="81">
        <v>36956</v>
      </c>
      <c r="G658" s="105" t="str">
        <f t="shared" si="20"/>
        <v>Mar</v>
      </c>
      <c r="H658" s="51">
        <f t="shared" ca="1" si="21"/>
        <v>15</v>
      </c>
      <c r="I658" s="52" t="s">
        <v>276</v>
      </c>
      <c r="J658" s="53">
        <v>49930</v>
      </c>
      <c r="K658" s="54">
        <v>1</v>
      </c>
    </row>
    <row r="659" spans="1:11" hidden="1" x14ac:dyDescent="0.25">
      <c r="A659" s="39" t="s">
        <v>958</v>
      </c>
      <c r="B659" s="46" t="s">
        <v>285</v>
      </c>
      <c r="C659" s="39" t="s">
        <v>930</v>
      </c>
      <c r="D659" s="142">
        <v>566753458</v>
      </c>
      <c r="E659" s="39" t="s">
        <v>256</v>
      </c>
      <c r="F659" s="81">
        <v>36967</v>
      </c>
      <c r="G659" s="105" t="str">
        <f t="shared" si="20"/>
        <v>Mar</v>
      </c>
      <c r="H659" s="51">
        <f t="shared" ca="1" si="21"/>
        <v>15</v>
      </c>
      <c r="I659" s="52" t="s">
        <v>257</v>
      </c>
      <c r="J659" s="53">
        <v>63060</v>
      </c>
      <c r="K659" s="54">
        <v>4</v>
      </c>
    </row>
    <row r="660" spans="1:11" hidden="1" x14ac:dyDescent="0.25">
      <c r="A660" s="39" t="s">
        <v>967</v>
      </c>
      <c r="B660" s="46" t="s">
        <v>280</v>
      </c>
      <c r="C660" s="39" t="s">
        <v>930</v>
      </c>
      <c r="D660" s="142">
        <v>569148272</v>
      </c>
      <c r="E660" s="39" t="s">
        <v>247</v>
      </c>
      <c r="F660" s="81">
        <v>38438</v>
      </c>
      <c r="G660" s="105" t="str">
        <f t="shared" si="20"/>
        <v>Mar</v>
      </c>
      <c r="H660" s="51">
        <f t="shared" ca="1" si="21"/>
        <v>11</v>
      </c>
      <c r="I660" s="52"/>
      <c r="J660" s="53">
        <v>32880</v>
      </c>
      <c r="K660" s="54">
        <v>3</v>
      </c>
    </row>
    <row r="661" spans="1:11" hidden="1" x14ac:dyDescent="0.25">
      <c r="A661" s="39" t="s">
        <v>993</v>
      </c>
      <c r="B661" s="46" t="s">
        <v>280</v>
      </c>
      <c r="C661" s="39" t="s">
        <v>930</v>
      </c>
      <c r="D661" s="142">
        <v>474191337</v>
      </c>
      <c r="E661" s="39" t="s">
        <v>256</v>
      </c>
      <c r="F661" s="81">
        <v>39171</v>
      </c>
      <c r="G661" s="105" t="str">
        <f t="shared" si="20"/>
        <v>Mar</v>
      </c>
      <c r="H661" s="51">
        <f t="shared" ca="1" si="21"/>
        <v>9</v>
      </c>
      <c r="I661" s="52" t="s">
        <v>267</v>
      </c>
      <c r="J661" s="53">
        <v>25690</v>
      </c>
      <c r="K661" s="54">
        <v>2</v>
      </c>
    </row>
    <row r="662" spans="1:11" hidden="1" x14ac:dyDescent="0.25">
      <c r="A662" s="39" t="s">
        <v>1023</v>
      </c>
      <c r="B662" s="46" t="s">
        <v>280</v>
      </c>
      <c r="C662" s="39" t="s">
        <v>930</v>
      </c>
      <c r="D662" s="142">
        <v>124048112</v>
      </c>
      <c r="E662" s="39" t="s">
        <v>261</v>
      </c>
      <c r="F662" s="81">
        <v>39535</v>
      </c>
      <c r="G662" s="105" t="str">
        <f t="shared" si="20"/>
        <v>Mar</v>
      </c>
      <c r="H662" s="51">
        <f t="shared" ca="1" si="21"/>
        <v>8</v>
      </c>
      <c r="I662" s="52" t="s">
        <v>276</v>
      </c>
      <c r="J662" s="53">
        <v>49080</v>
      </c>
      <c r="K662" s="54">
        <v>5</v>
      </c>
    </row>
    <row r="663" spans="1:11" x14ac:dyDescent="0.25">
      <c r="A663" s="39" t="s">
        <v>1004</v>
      </c>
      <c r="B663" s="46" t="s">
        <v>271</v>
      </c>
      <c r="C663" s="39" t="s">
        <v>930</v>
      </c>
      <c r="D663" s="142">
        <v>874943723</v>
      </c>
      <c r="E663" s="39" t="s">
        <v>256</v>
      </c>
      <c r="F663" s="81">
        <v>34425</v>
      </c>
      <c r="G663" s="105" t="str">
        <f t="shared" si="20"/>
        <v>Apr</v>
      </c>
      <c r="H663" s="51">
        <f t="shared" ca="1" si="21"/>
        <v>22</v>
      </c>
      <c r="I663" s="52" t="s">
        <v>283</v>
      </c>
      <c r="J663" s="53">
        <v>73850</v>
      </c>
      <c r="K663" s="54">
        <v>2</v>
      </c>
    </row>
    <row r="664" spans="1:11" hidden="1" x14ac:dyDescent="0.25">
      <c r="A664" s="39" t="s">
        <v>1020</v>
      </c>
      <c r="B664" s="46" t="s">
        <v>285</v>
      </c>
      <c r="C664" s="39" t="s">
        <v>930</v>
      </c>
      <c r="D664" s="142">
        <v>521441612</v>
      </c>
      <c r="E664" s="39" t="s">
        <v>256</v>
      </c>
      <c r="F664" s="81">
        <v>36619</v>
      </c>
      <c r="G664" s="105" t="str">
        <f t="shared" si="20"/>
        <v>Apr</v>
      </c>
      <c r="H664" s="51">
        <f t="shared" ca="1" si="21"/>
        <v>16</v>
      </c>
      <c r="I664" s="52" t="s">
        <v>262</v>
      </c>
      <c r="J664" s="53">
        <v>71970</v>
      </c>
      <c r="K664" s="54">
        <v>4</v>
      </c>
    </row>
    <row r="665" spans="1:11" hidden="1" x14ac:dyDescent="0.25">
      <c r="A665" s="39" t="s">
        <v>998</v>
      </c>
      <c r="B665" s="46" t="s">
        <v>251</v>
      </c>
      <c r="C665" s="39" t="s">
        <v>930</v>
      </c>
      <c r="D665" s="142">
        <v>588691961</v>
      </c>
      <c r="E665" s="39" t="s">
        <v>256</v>
      </c>
      <c r="F665" s="81">
        <v>37009</v>
      </c>
      <c r="G665" s="105" t="str">
        <f t="shared" si="20"/>
        <v>Apr</v>
      </c>
      <c r="H665" s="51">
        <f t="shared" ca="1" si="21"/>
        <v>15</v>
      </c>
      <c r="I665" s="52" t="s">
        <v>283</v>
      </c>
      <c r="J665" s="53">
        <v>78710</v>
      </c>
      <c r="K665" s="54">
        <v>2</v>
      </c>
    </row>
    <row r="666" spans="1:11" x14ac:dyDescent="0.25">
      <c r="A666" s="39" t="s">
        <v>970</v>
      </c>
      <c r="B666" s="46" t="s">
        <v>271</v>
      </c>
      <c r="C666" s="39" t="s">
        <v>930</v>
      </c>
      <c r="D666" s="142">
        <v>884829416</v>
      </c>
      <c r="E666" s="39" t="s">
        <v>256</v>
      </c>
      <c r="F666" s="81">
        <v>40637</v>
      </c>
      <c r="G666" s="105" t="str">
        <f t="shared" si="20"/>
        <v>Apr</v>
      </c>
      <c r="H666" s="51">
        <f t="shared" ca="1" si="21"/>
        <v>5</v>
      </c>
      <c r="I666" s="52" t="s">
        <v>257</v>
      </c>
      <c r="J666" s="53">
        <v>86640</v>
      </c>
      <c r="K666" s="54">
        <v>3</v>
      </c>
    </row>
    <row r="667" spans="1:11" hidden="1" x14ac:dyDescent="0.25">
      <c r="A667" s="39" t="s">
        <v>939</v>
      </c>
      <c r="B667" s="46" t="s">
        <v>251</v>
      </c>
      <c r="C667" s="39" t="s">
        <v>930</v>
      </c>
      <c r="D667" s="142">
        <v>466822677</v>
      </c>
      <c r="E667" s="39" t="s">
        <v>247</v>
      </c>
      <c r="F667" s="103">
        <v>40638</v>
      </c>
      <c r="G667" s="105" t="str">
        <f t="shared" si="20"/>
        <v>Apr</v>
      </c>
      <c r="H667" s="51">
        <f t="shared" ca="1" si="21"/>
        <v>5</v>
      </c>
      <c r="I667" s="52"/>
      <c r="J667" s="53">
        <v>42990</v>
      </c>
      <c r="K667" s="54">
        <v>4</v>
      </c>
    </row>
    <row r="668" spans="1:11" hidden="1" x14ac:dyDescent="0.25">
      <c r="A668" s="39" t="s">
        <v>960</v>
      </c>
      <c r="B668" s="46" t="s">
        <v>285</v>
      </c>
      <c r="C668" s="39" t="s">
        <v>930</v>
      </c>
      <c r="D668" s="142">
        <v>333876050</v>
      </c>
      <c r="E668" s="39" t="s">
        <v>252</v>
      </c>
      <c r="F668" s="81">
        <v>34825</v>
      </c>
      <c r="G668" s="105" t="str">
        <f t="shared" si="20"/>
        <v>May</v>
      </c>
      <c r="H668" s="51">
        <f t="shared" ca="1" si="21"/>
        <v>21</v>
      </c>
      <c r="I668" s="52"/>
      <c r="J668" s="53">
        <v>26944</v>
      </c>
      <c r="K668" s="54">
        <v>4</v>
      </c>
    </row>
    <row r="669" spans="1:11" hidden="1" x14ac:dyDescent="0.25">
      <c r="A669" s="39" t="s">
        <v>1008</v>
      </c>
      <c r="B669" s="46" t="s">
        <v>285</v>
      </c>
      <c r="C669" s="39" t="s">
        <v>930</v>
      </c>
      <c r="D669" s="142">
        <v>283474283</v>
      </c>
      <c r="E669" s="39" t="s">
        <v>252</v>
      </c>
      <c r="F669" s="81">
        <v>35576</v>
      </c>
      <c r="G669" s="105" t="str">
        <f t="shared" si="20"/>
        <v>May</v>
      </c>
      <c r="H669" s="51">
        <f t="shared" ca="1" si="21"/>
        <v>19</v>
      </c>
      <c r="I669" s="52"/>
      <c r="J669" s="53">
        <v>28768</v>
      </c>
      <c r="K669" s="54">
        <v>3</v>
      </c>
    </row>
    <row r="670" spans="1:11" hidden="1" x14ac:dyDescent="0.25">
      <c r="A670" s="39" t="s">
        <v>933</v>
      </c>
      <c r="B670" s="46" t="s">
        <v>285</v>
      </c>
      <c r="C670" s="39" t="s">
        <v>930</v>
      </c>
      <c r="D670" s="142">
        <v>523053808</v>
      </c>
      <c r="E670" s="39" t="s">
        <v>256</v>
      </c>
      <c r="F670" s="81">
        <v>36672</v>
      </c>
      <c r="G670" s="105" t="str">
        <f t="shared" si="20"/>
        <v>May</v>
      </c>
      <c r="H670" s="51">
        <f t="shared" ca="1" si="21"/>
        <v>16</v>
      </c>
      <c r="I670" s="52" t="s">
        <v>262</v>
      </c>
      <c r="J670" s="53">
        <v>65320</v>
      </c>
      <c r="K670" s="54">
        <v>5</v>
      </c>
    </row>
    <row r="671" spans="1:11" x14ac:dyDescent="0.25">
      <c r="A671" s="39" t="s">
        <v>990</v>
      </c>
      <c r="B671" s="46" t="s">
        <v>271</v>
      </c>
      <c r="C671" s="39" t="s">
        <v>930</v>
      </c>
      <c r="D671" s="142">
        <v>999900221</v>
      </c>
      <c r="E671" s="39" t="s">
        <v>256</v>
      </c>
      <c r="F671" s="103">
        <v>40680</v>
      </c>
      <c r="G671" s="105" t="str">
        <f t="shared" si="20"/>
        <v>May</v>
      </c>
      <c r="H671" s="51">
        <f t="shared" ca="1" si="21"/>
        <v>5</v>
      </c>
      <c r="I671" s="52" t="s">
        <v>257</v>
      </c>
      <c r="J671" s="53">
        <v>23030</v>
      </c>
      <c r="K671" s="54">
        <v>4</v>
      </c>
    </row>
    <row r="672" spans="1:11" x14ac:dyDescent="0.25">
      <c r="A672" s="39" t="s">
        <v>1009</v>
      </c>
      <c r="B672" s="46" t="s">
        <v>271</v>
      </c>
      <c r="C672" s="39" t="s">
        <v>930</v>
      </c>
      <c r="D672" s="142">
        <v>934433975</v>
      </c>
      <c r="E672" s="39" t="s">
        <v>256</v>
      </c>
      <c r="F672" s="103">
        <v>40680</v>
      </c>
      <c r="G672" s="105" t="str">
        <f t="shared" si="20"/>
        <v>May</v>
      </c>
      <c r="H672" s="51">
        <f t="shared" ca="1" si="21"/>
        <v>5</v>
      </c>
      <c r="I672" s="52" t="s">
        <v>276</v>
      </c>
      <c r="J672" s="53">
        <v>40260</v>
      </c>
      <c r="K672" s="54">
        <v>5</v>
      </c>
    </row>
    <row r="673" spans="1:11" hidden="1" x14ac:dyDescent="0.25">
      <c r="A673" s="39" t="s">
        <v>962</v>
      </c>
      <c r="B673" s="46" t="s">
        <v>285</v>
      </c>
      <c r="C673" s="39" t="s">
        <v>930</v>
      </c>
      <c r="D673" s="142">
        <v>679496333</v>
      </c>
      <c r="E673" s="39" t="s">
        <v>261</v>
      </c>
      <c r="F673" s="81">
        <v>33391</v>
      </c>
      <c r="G673" s="105" t="str">
        <f t="shared" si="20"/>
        <v>Jun</v>
      </c>
      <c r="H673" s="51">
        <f t="shared" ca="1" si="21"/>
        <v>25</v>
      </c>
      <c r="I673" s="52" t="s">
        <v>283</v>
      </c>
      <c r="J673" s="53">
        <v>13455</v>
      </c>
      <c r="K673" s="54">
        <v>2</v>
      </c>
    </row>
    <row r="674" spans="1:11" hidden="1" x14ac:dyDescent="0.25">
      <c r="A674" s="39" t="s">
        <v>989</v>
      </c>
      <c r="B674" s="46" t="s">
        <v>245</v>
      </c>
      <c r="C674" s="39" t="s">
        <v>930</v>
      </c>
      <c r="D674" s="142">
        <v>653749368</v>
      </c>
      <c r="E674" s="39" t="s">
        <v>247</v>
      </c>
      <c r="F674" s="81">
        <v>33401</v>
      </c>
      <c r="G674" s="105" t="str">
        <f t="shared" si="20"/>
        <v>Jun</v>
      </c>
      <c r="H674" s="51">
        <f t="shared" ca="1" si="21"/>
        <v>25</v>
      </c>
      <c r="I674" s="52"/>
      <c r="J674" s="53">
        <v>34680</v>
      </c>
      <c r="K674" s="54">
        <v>5</v>
      </c>
    </row>
    <row r="675" spans="1:11" hidden="1" x14ac:dyDescent="0.25">
      <c r="A675" s="39" t="s">
        <v>994</v>
      </c>
      <c r="B675" s="46" t="s">
        <v>280</v>
      </c>
      <c r="C675" s="39" t="s">
        <v>930</v>
      </c>
      <c r="D675" s="142">
        <v>961374801</v>
      </c>
      <c r="E675" s="39" t="s">
        <v>247</v>
      </c>
      <c r="F675" s="81">
        <v>33413</v>
      </c>
      <c r="G675" s="105" t="str">
        <f t="shared" si="20"/>
        <v>Jun</v>
      </c>
      <c r="H675" s="51">
        <f t="shared" ca="1" si="21"/>
        <v>25</v>
      </c>
      <c r="I675" s="52"/>
      <c r="J675" s="53">
        <v>26020</v>
      </c>
      <c r="K675" s="54">
        <v>5</v>
      </c>
    </row>
    <row r="676" spans="1:11" hidden="1" x14ac:dyDescent="0.25">
      <c r="A676" s="39" t="s">
        <v>988</v>
      </c>
      <c r="B676" s="46" t="s">
        <v>285</v>
      </c>
      <c r="C676" s="39" t="s">
        <v>930</v>
      </c>
      <c r="D676" s="142">
        <v>232411697</v>
      </c>
      <c r="E676" s="39" t="s">
        <v>247</v>
      </c>
      <c r="F676" s="81">
        <v>34126</v>
      </c>
      <c r="G676" s="105" t="str">
        <f t="shared" si="20"/>
        <v>Jun</v>
      </c>
      <c r="H676" s="51">
        <f t="shared" ca="1" si="21"/>
        <v>23</v>
      </c>
      <c r="I676" s="52"/>
      <c r="J676" s="53">
        <v>75550</v>
      </c>
      <c r="K676" s="54">
        <v>3</v>
      </c>
    </row>
    <row r="677" spans="1:11" hidden="1" x14ac:dyDescent="0.25">
      <c r="A677" s="39" t="s">
        <v>1015</v>
      </c>
      <c r="B677" s="46" t="s">
        <v>280</v>
      </c>
      <c r="C677" s="39" t="s">
        <v>930</v>
      </c>
      <c r="D677" s="142">
        <v>143482152</v>
      </c>
      <c r="E677" s="39" t="s">
        <v>247</v>
      </c>
      <c r="F677" s="81">
        <v>34135</v>
      </c>
      <c r="G677" s="105" t="str">
        <f t="shared" si="20"/>
        <v>Jun</v>
      </c>
      <c r="H677" s="51">
        <f t="shared" ca="1" si="21"/>
        <v>23</v>
      </c>
      <c r="I677" s="52"/>
      <c r="J677" s="53">
        <v>78590</v>
      </c>
      <c r="K677" s="54">
        <v>1</v>
      </c>
    </row>
    <row r="678" spans="1:11" hidden="1" x14ac:dyDescent="0.25">
      <c r="A678" s="39" t="s">
        <v>948</v>
      </c>
      <c r="B678" s="46" t="s">
        <v>285</v>
      </c>
      <c r="C678" s="39" t="s">
        <v>930</v>
      </c>
      <c r="D678" s="142">
        <v>194299463</v>
      </c>
      <c r="E678" s="39" t="s">
        <v>261</v>
      </c>
      <c r="F678" s="81">
        <v>34140</v>
      </c>
      <c r="G678" s="105" t="str">
        <f t="shared" si="20"/>
        <v>Jun</v>
      </c>
      <c r="H678" s="51">
        <f t="shared" ca="1" si="21"/>
        <v>23</v>
      </c>
      <c r="I678" s="52" t="s">
        <v>276</v>
      </c>
      <c r="J678" s="53">
        <v>11230</v>
      </c>
      <c r="K678" s="54">
        <v>4</v>
      </c>
    </row>
    <row r="679" spans="1:11" x14ac:dyDescent="0.25">
      <c r="A679" s="39" t="s">
        <v>1010</v>
      </c>
      <c r="B679" s="46" t="s">
        <v>271</v>
      </c>
      <c r="C679" s="39" t="s">
        <v>930</v>
      </c>
      <c r="D679" s="142">
        <v>541855317</v>
      </c>
      <c r="E679" s="39" t="s">
        <v>256</v>
      </c>
      <c r="F679" s="81">
        <v>36330</v>
      </c>
      <c r="G679" s="105" t="str">
        <f t="shared" si="20"/>
        <v>Jun</v>
      </c>
      <c r="H679" s="51">
        <f t="shared" ca="1" si="21"/>
        <v>17</v>
      </c>
      <c r="I679" s="52" t="s">
        <v>276</v>
      </c>
      <c r="J679" s="53">
        <v>61850</v>
      </c>
      <c r="K679" s="54">
        <v>2</v>
      </c>
    </row>
    <row r="680" spans="1:11" hidden="1" x14ac:dyDescent="0.25">
      <c r="A680" s="39" t="s">
        <v>972</v>
      </c>
      <c r="B680" s="46" t="s">
        <v>266</v>
      </c>
      <c r="C680" s="39" t="s">
        <v>930</v>
      </c>
      <c r="D680" s="142">
        <v>686263677</v>
      </c>
      <c r="E680" s="39" t="s">
        <v>247</v>
      </c>
      <c r="F680" s="81">
        <v>37065</v>
      </c>
      <c r="G680" s="105" t="str">
        <f t="shared" si="20"/>
        <v>Jun</v>
      </c>
      <c r="H680" s="51">
        <f t="shared" ca="1" si="21"/>
        <v>15</v>
      </c>
      <c r="I680" s="52"/>
      <c r="J680" s="53">
        <v>77136</v>
      </c>
      <c r="K680" s="54">
        <v>5</v>
      </c>
    </row>
    <row r="681" spans="1:11" hidden="1" x14ac:dyDescent="0.25">
      <c r="A681" s="39" t="s">
        <v>951</v>
      </c>
      <c r="B681" s="46" t="s">
        <v>245</v>
      </c>
      <c r="C681" s="39" t="s">
        <v>930</v>
      </c>
      <c r="D681" s="142">
        <v>815820999</v>
      </c>
      <c r="E681" s="39" t="s">
        <v>256</v>
      </c>
      <c r="F681" s="81">
        <v>39602</v>
      </c>
      <c r="G681" s="105" t="str">
        <f t="shared" si="20"/>
        <v>Jun</v>
      </c>
      <c r="H681" s="51">
        <f t="shared" ca="1" si="21"/>
        <v>8</v>
      </c>
      <c r="I681" s="52" t="s">
        <v>257</v>
      </c>
      <c r="J681" s="53">
        <v>79380</v>
      </c>
      <c r="K681" s="54">
        <v>5</v>
      </c>
    </row>
    <row r="682" spans="1:11" hidden="1" x14ac:dyDescent="0.25">
      <c r="A682" s="39" t="s">
        <v>941</v>
      </c>
      <c r="B682" s="46" t="s">
        <v>266</v>
      </c>
      <c r="C682" s="39" t="s">
        <v>930</v>
      </c>
      <c r="D682" s="142">
        <v>458108885</v>
      </c>
      <c r="E682" s="39" t="s">
        <v>247</v>
      </c>
      <c r="F682" s="109">
        <v>40334</v>
      </c>
      <c r="G682" s="105" t="str">
        <f t="shared" si="20"/>
        <v>Jun</v>
      </c>
      <c r="H682" s="51">
        <f t="shared" ca="1" si="21"/>
        <v>6</v>
      </c>
      <c r="I682" s="52"/>
      <c r="J682" s="53">
        <v>47280</v>
      </c>
      <c r="K682" s="54">
        <v>1</v>
      </c>
    </row>
    <row r="683" spans="1:11" hidden="1" x14ac:dyDescent="0.25">
      <c r="A683" s="39" t="s">
        <v>936</v>
      </c>
      <c r="B683" s="46" t="s">
        <v>245</v>
      </c>
      <c r="C683" s="39" t="s">
        <v>930</v>
      </c>
      <c r="D683" s="142">
        <v>896441339</v>
      </c>
      <c r="E683" s="39" t="s">
        <v>247</v>
      </c>
      <c r="F683" s="81">
        <v>33789</v>
      </c>
      <c r="G683" s="105" t="str">
        <f t="shared" si="20"/>
        <v>Jul</v>
      </c>
      <c r="H683" s="51">
        <f t="shared" ca="1" si="21"/>
        <v>24</v>
      </c>
      <c r="I683" s="52"/>
      <c r="J683" s="53">
        <v>59128</v>
      </c>
      <c r="K683" s="54">
        <v>4</v>
      </c>
    </row>
    <row r="684" spans="1:11" x14ac:dyDescent="0.25">
      <c r="A684" s="39" t="s">
        <v>947</v>
      </c>
      <c r="B684" s="46" t="s">
        <v>271</v>
      </c>
      <c r="C684" s="39" t="s">
        <v>930</v>
      </c>
      <c r="D684" s="142">
        <v>961967570</v>
      </c>
      <c r="E684" s="39" t="s">
        <v>256</v>
      </c>
      <c r="F684" s="81">
        <v>33806</v>
      </c>
      <c r="G684" s="105" t="str">
        <f t="shared" si="20"/>
        <v>Jul</v>
      </c>
      <c r="H684" s="51">
        <f t="shared" ca="1" si="21"/>
        <v>24</v>
      </c>
      <c r="I684" s="52" t="s">
        <v>262</v>
      </c>
      <c r="J684" s="53">
        <v>62780</v>
      </c>
      <c r="K684" s="54">
        <v>3</v>
      </c>
    </row>
    <row r="685" spans="1:11" x14ac:dyDescent="0.25">
      <c r="A685" s="39" t="s">
        <v>969</v>
      </c>
      <c r="B685" s="46" t="s">
        <v>271</v>
      </c>
      <c r="C685" s="39" t="s">
        <v>930</v>
      </c>
      <c r="D685" s="142">
        <v>276310585</v>
      </c>
      <c r="E685" s="39" t="s">
        <v>261</v>
      </c>
      <c r="F685" s="81">
        <v>34154</v>
      </c>
      <c r="G685" s="105" t="str">
        <f t="shared" si="20"/>
        <v>Jul</v>
      </c>
      <c r="H685" s="51">
        <f t="shared" ca="1" si="21"/>
        <v>23</v>
      </c>
      <c r="I685" s="52" t="s">
        <v>257</v>
      </c>
      <c r="J685" s="53">
        <v>49545</v>
      </c>
      <c r="K685" s="54">
        <v>2</v>
      </c>
    </row>
    <row r="686" spans="1:11" hidden="1" x14ac:dyDescent="0.25">
      <c r="A686" s="39" t="s">
        <v>935</v>
      </c>
      <c r="B686" s="46" t="s">
        <v>280</v>
      </c>
      <c r="C686" s="39" t="s">
        <v>930</v>
      </c>
      <c r="D686" s="142">
        <v>803179564</v>
      </c>
      <c r="E686" s="39" t="s">
        <v>247</v>
      </c>
      <c r="F686" s="81">
        <v>34159</v>
      </c>
      <c r="G686" s="105" t="str">
        <f t="shared" si="20"/>
        <v>Jul</v>
      </c>
      <c r="H686" s="51">
        <f t="shared" ca="1" si="21"/>
        <v>23</v>
      </c>
      <c r="I686" s="52"/>
      <c r="J686" s="53">
        <v>35240</v>
      </c>
      <c r="K686" s="54">
        <v>3</v>
      </c>
    </row>
    <row r="687" spans="1:11" hidden="1" x14ac:dyDescent="0.25">
      <c r="A687" s="39" t="s">
        <v>938</v>
      </c>
      <c r="B687" s="46" t="s">
        <v>285</v>
      </c>
      <c r="C687" s="39" t="s">
        <v>930</v>
      </c>
      <c r="D687" s="142">
        <v>946315480</v>
      </c>
      <c r="E687" s="39" t="s">
        <v>247</v>
      </c>
      <c r="F687" s="81">
        <v>34534</v>
      </c>
      <c r="G687" s="105" t="str">
        <f t="shared" si="20"/>
        <v>Jul</v>
      </c>
      <c r="H687" s="51">
        <f t="shared" ca="1" si="21"/>
        <v>22</v>
      </c>
      <c r="I687" s="52"/>
      <c r="J687" s="53">
        <v>45105</v>
      </c>
      <c r="K687" s="54">
        <v>1</v>
      </c>
    </row>
    <row r="688" spans="1:11" hidden="1" x14ac:dyDescent="0.25">
      <c r="A688" s="39" t="s">
        <v>937</v>
      </c>
      <c r="B688" s="46" t="s">
        <v>285</v>
      </c>
      <c r="C688" s="39" t="s">
        <v>930</v>
      </c>
      <c r="D688" s="142">
        <v>989418899</v>
      </c>
      <c r="E688" s="39" t="s">
        <v>252</v>
      </c>
      <c r="F688" s="81">
        <v>35247</v>
      </c>
      <c r="G688" s="105" t="str">
        <f t="shared" si="20"/>
        <v>Jul</v>
      </c>
      <c r="H688" s="51">
        <f t="shared" ca="1" si="21"/>
        <v>20</v>
      </c>
      <c r="I688" s="52"/>
      <c r="J688" s="53">
        <v>33752</v>
      </c>
      <c r="K688" s="54">
        <v>3</v>
      </c>
    </row>
    <row r="689" spans="1:11" hidden="1" x14ac:dyDescent="0.25">
      <c r="A689" s="39" t="s">
        <v>964</v>
      </c>
      <c r="B689" s="46" t="s">
        <v>285</v>
      </c>
      <c r="C689" s="39" t="s">
        <v>930</v>
      </c>
      <c r="D689" s="142">
        <v>747807890</v>
      </c>
      <c r="E689" s="39" t="s">
        <v>256</v>
      </c>
      <c r="F689" s="81">
        <v>35276</v>
      </c>
      <c r="G689" s="105" t="str">
        <f t="shared" si="20"/>
        <v>Jul</v>
      </c>
      <c r="H689" s="51">
        <f t="shared" ca="1" si="21"/>
        <v>20</v>
      </c>
      <c r="I689" s="52" t="s">
        <v>257</v>
      </c>
      <c r="J689" s="53">
        <v>58370</v>
      </c>
      <c r="K689" s="54">
        <v>5</v>
      </c>
    </row>
    <row r="690" spans="1:11" hidden="1" x14ac:dyDescent="0.25">
      <c r="A690" s="39" t="s">
        <v>1018</v>
      </c>
      <c r="B690" s="46" t="s">
        <v>285</v>
      </c>
      <c r="C690" s="39" t="s">
        <v>930</v>
      </c>
      <c r="D690" s="142">
        <v>336305232</v>
      </c>
      <c r="E690" s="39" t="s">
        <v>256</v>
      </c>
      <c r="F690" s="81">
        <v>35627</v>
      </c>
      <c r="G690" s="105" t="str">
        <f t="shared" si="20"/>
        <v>Jul</v>
      </c>
      <c r="H690" s="51">
        <f t="shared" ca="1" si="21"/>
        <v>19</v>
      </c>
      <c r="I690" s="52" t="s">
        <v>283</v>
      </c>
      <c r="J690" s="53">
        <v>41380</v>
      </c>
      <c r="K690" s="54">
        <v>2</v>
      </c>
    </row>
    <row r="691" spans="1:11" hidden="1" x14ac:dyDescent="0.25">
      <c r="A691" s="39" t="s">
        <v>997</v>
      </c>
      <c r="B691" s="46" t="s">
        <v>251</v>
      </c>
      <c r="C691" s="39" t="s">
        <v>930</v>
      </c>
      <c r="D691" s="142">
        <v>344858491</v>
      </c>
      <c r="E691" s="39" t="s">
        <v>261</v>
      </c>
      <c r="F691" s="81">
        <v>36365</v>
      </c>
      <c r="G691" s="105" t="str">
        <f t="shared" si="20"/>
        <v>Jul</v>
      </c>
      <c r="H691" s="51">
        <f t="shared" ca="1" si="21"/>
        <v>17</v>
      </c>
      <c r="I691" s="52" t="s">
        <v>267</v>
      </c>
      <c r="J691" s="53">
        <v>19825</v>
      </c>
      <c r="K691" s="54">
        <v>2</v>
      </c>
    </row>
    <row r="692" spans="1:11" x14ac:dyDescent="0.25">
      <c r="A692" s="39" t="s">
        <v>975</v>
      </c>
      <c r="B692" s="46" t="s">
        <v>271</v>
      </c>
      <c r="C692" s="39" t="s">
        <v>930</v>
      </c>
      <c r="D692" s="142">
        <v>901143208</v>
      </c>
      <c r="E692" s="39" t="s">
        <v>247</v>
      </c>
      <c r="F692" s="108">
        <v>37099</v>
      </c>
      <c r="G692" s="105" t="str">
        <f t="shared" si="20"/>
        <v>Jul</v>
      </c>
      <c r="H692" s="51">
        <f t="shared" ca="1" si="21"/>
        <v>15</v>
      </c>
      <c r="I692" s="52"/>
      <c r="J692" s="53">
        <v>28270</v>
      </c>
      <c r="K692" s="54">
        <v>5</v>
      </c>
    </row>
    <row r="693" spans="1:11" hidden="1" x14ac:dyDescent="0.25">
      <c r="A693" s="39" t="s">
        <v>1005</v>
      </c>
      <c r="B693" s="46" t="s">
        <v>266</v>
      </c>
      <c r="C693" s="39" t="s">
        <v>930</v>
      </c>
      <c r="D693" s="142">
        <v>128842689</v>
      </c>
      <c r="E693" s="39" t="s">
        <v>247</v>
      </c>
      <c r="F693" s="81">
        <v>37453</v>
      </c>
      <c r="G693" s="105" t="str">
        <f t="shared" si="20"/>
        <v>Jul</v>
      </c>
      <c r="H693" s="51">
        <f t="shared" ca="1" si="21"/>
        <v>14</v>
      </c>
      <c r="I693" s="52"/>
      <c r="J693" s="53">
        <v>49090</v>
      </c>
      <c r="K693" s="54">
        <v>4</v>
      </c>
    </row>
    <row r="694" spans="1:11" hidden="1" x14ac:dyDescent="0.25">
      <c r="A694" s="39" t="s">
        <v>946</v>
      </c>
      <c r="B694" s="46" t="s">
        <v>285</v>
      </c>
      <c r="C694" s="39" t="s">
        <v>930</v>
      </c>
      <c r="D694" s="142">
        <v>452101408</v>
      </c>
      <c r="E694" s="39" t="s">
        <v>256</v>
      </c>
      <c r="F694" s="81">
        <v>37810</v>
      </c>
      <c r="G694" s="105" t="str">
        <f t="shared" si="20"/>
        <v>Jul</v>
      </c>
      <c r="H694" s="51">
        <f t="shared" ca="1" si="21"/>
        <v>13</v>
      </c>
      <c r="I694" s="52" t="s">
        <v>283</v>
      </c>
      <c r="J694" s="53">
        <v>48010</v>
      </c>
      <c r="K694" s="54">
        <v>3</v>
      </c>
    </row>
    <row r="695" spans="1:11" hidden="1" x14ac:dyDescent="0.25">
      <c r="A695" s="39" t="s">
        <v>940</v>
      </c>
      <c r="B695" s="46" t="s">
        <v>285</v>
      </c>
      <c r="C695" s="39" t="s">
        <v>930</v>
      </c>
      <c r="D695" s="142">
        <v>564155873</v>
      </c>
      <c r="E695" s="39" t="s">
        <v>256</v>
      </c>
      <c r="F695" s="81">
        <v>39283</v>
      </c>
      <c r="G695" s="105" t="str">
        <f t="shared" si="20"/>
        <v>Jul</v>
      </c>
      <c r="H695" s="51">
        <f t="shared" ca="1" si="21"/>
        <v>9</v>
      </c>
      <c r="I695" s="52" t="s">
        <v>257</v>
      </c>
      <c r="J695" s="53">
        <v>24980</v>
      </c>
      <c r="K695" s="54">
        <v>3</v>
      </c>
    </row>
    <row r="696" spans="1:11" x14ac:dyDescent="0.25">
      <c r="A696" s="39" t="s">
        <v>1021</v>
      </c>
      <c r="B696" s="46" t="s">
        <v>271</v>
      </c>
      <c r="C696" s="39" t="s">
        <v>930</v>
      </c>
      <c r="D696" s="142">
        <v>992878584</v>
      </c>
      <c r="E696" s="39" t="s">
        <v>256</v>
      </c>
      <c r="F696" s="81">
        <v>40018</v>
      </c>
      <c r="G696" s="105" t="str">
        <f t="shared" si="20"/>
        <v>Jul</v>
      </c>
      <c r="H696" s="51">
        <f t="shared" ca="1" si="21"/>
        <v>7</v>
      </c>
      <c r="I696" s="52" t="s">
        <v>283</v>
      </c>
      <c r="J696" s="53">
        <v>34990</v>
      </c>
      <c r="K696" s="54">
        <v>3</v>
      </c>
    </row>
    <row r="697" spans="1:11" hidden="1" x14ac:dyDescent="0.25">
      <c r="A697" s="39" t="s">
        <v>1013</v>
      </c>
      <c r="B697" s="46" t="s">
        <v>245</v>
      </c>
      <c r="C697" s="39" t="s">
        <v>930</v>
      </c>
      <c r="D697" s="142">
        <v>980462833</v>
      </c>
      <c r="E697" s="39" t="s">
        <v>247</v>
      </c>
      <c r="F697" s="81">
        <v>33820</v>
      </c>
      <c r="G697" s="105" t="str">
        <f t="shared" si="20"/>
        <v>Aug</v>
      </c>
      <c r="H697" s="51">
        <f t="shared" ca="1" si="21"/>
        <v>24</v>
      </c>
      <c r="I697" s="52"/>
      <c r="J697" s="53">
        <v>70300</v>
      </c>
      <c r="K697" s="54">
        <v>3</v>
      </c>
    </row>
    <row r="698" spans="1:11" hidden="1" x14ac:dyDescent="0.25">
      <c r="A698" s="39" t="s">
        <v>992</v>
      </c>
      <c r="B698" s="46" t="s">
        <v>280</v>
      </c>
      <c r="C698" s="39" t="s">
        <v>930</v>
      </c>
      <c r="D698" s="142">
        <v>561353896</v>
      </c>
      <c r="E698" s="39" t="s">
        <v>247</v>
      </c>
      <c r="F698" s="81">
        <v>35280</v>
      </c>
      <c r="G698" s="105" t="str">
        <f t="shared" si="20"/>
        <v>Aug</v>
      </c>
      <c r="H698" s="51">
        <f t="shared" ca="1" si="21"/>
        <v>20</v>
      </c>
      <c r="I698" s="52"/>
      <c r="J698" s="53">
        <v>41770</v>
      </c>
      <c r="K698" s="54">
        <v>5</v>
      </c>
    </row>
    <row r="699" spans="1:11" hidden="1" x14ac:dyDescent="0.25">
      <c r="A699" s="39" t="s">
        <v>932</v>
      </c>
      <c r="B699" s="46" t="s">
        <v>266</v>
      </c>
      <c r="C699" s="39" t="s">
        <v>930</v>
      </c>
      <c r="D699" s="142">
        <v>624119296</v>
      </c>
      <c r="E699" s="39" t="s">
        <v>261</v>
      </c>
      <c r="F699" s="81">
        <v>35297</v>
      </c>
      <c r="G699" s="105" t="str">
        <f t="shared" si="20"/>
        <v>Aug</v>
      </c>
      <c r="H699" s="51">
        <f t="shared" ca="1" si="21"/>
        <v>20</v>
      </c>
      <c r="I699" s="52" t="s">
        <v>283</v>
      </c>
      <c r="J699" s="53">
        <v>38105</v>
      </c>
      <c r="K699" s="54">
        <v>2</v>
      </c>
    </row>
    <row r="700" spans="1:11" hidden="1" x14ac:dyDescent="0.25">
      <c r="A700" s="39" t="s">
        <v>1022</v>
      </c>
      <c r="B700" s="46" t="s">
        <v>251</v>
      </c>
      <c r="C700" s="39" t="s">
        <v>930</v>
      </c>
      <c r="D700" s="142">
        <v>229319911</v>
      </c>
      <c r="E700" s="39" t="s">
        <v>256</v>
      </c>
      <c r="F700" s="81">
        <v>35307</v>
      </c>
      <c r="G700" s="105" t="str">
        <f t="shared" si="20"/>
        <v>Aug</v>
      </c>
      <c r="H700" s="51">
        <f t="shared" ca="1" si="21"/>
        <v>20</v>
      </c>
      <c r="I700" s="52" t="s">
        <v>257</v>
      </c>
      <c r="J700" s="53">
        <v>31690</v>
      </c>
      <c r="K700" s="54">
        <v>4</v>
      </c>
    </row>
    <row r="701" spans="1:11" hidden="1" x14ac:dyDescent="0.25">
      <c r="A701" s="39" t="s">
        <v>943</v>
      </c>
      <c r="B701" s="46" t="s">
        <v>285</v>
      </c>
      <c r="C701" s="39" t="s">
        <v>930</v>
      </c>
      <c r="D701" s="142">
        <v>353614971</v>
      </c>
      <c r="E701" s="39" t="s">
        <v>256</v>
      </c>
      <c r="F701" s="81">
        <v>36025</v>
      </c>
      <c r="G701" s="105" t="str">
        <f t="shared" si="20"/>
        <v>Aug</v>
      </c>
      <c r="H701" s="51">
        <f t="shared" ca="1" si="21"/>
        <v>18</v>
      </c>
      <c r="I701" s="52" t="s">
        <v>262</v>
      </c>
      <c r="J701" s="53">
        <v>64470</v>
      </c>
      <c r="K701" s="54">
        <v>5</v>
      </c>
    </row>
    <row r="702" spans="1:11" hidden="1" x14ac:dyDescent="0.25">
      <c r="A702" s="39" t="s">
        <v>991</v>
      </c>
      <c r="B702" s="46" t="s">
        <v>251</v>
      </c>
      <c r="C702" s="39" t="s">
        <v>930</v>
      </c>
      <c r="D702" s="142">
        <v>882546758</v>
      </c>
      <c r="E702" s="39" t="s">
        <v>256</v>
      </c>
      <c r="F702" s="81">
        <v>37495</v>
      </c>
      <c r="G702" s="105" t="str">
        <f t="shared" si="20"/>
        <v>Aug</v>
      </c>
      <c r="H702" s="51">
        <f t="shared" ca="1" si="21"/>
        <v>14</v>
      </c>
      <c r="I702" s="52" t="s">
        <v>276</v>
      </c>
      <c r="J702" s="53">
        <v>60300</v>
      </c>
      <c r="K702" s="54">
        <v>2</v>
      </c>
    </row>
    <row r="703" spans="1:11" hidden="1" x14ac:dyDescent="0.25">
      <c r="A703" s="39" t="s">
        <v>1001</v>
      </c>
      <c r="B703" s="46" t="s">
        <v>280</v>
      </c>
      <c r="C703" s="39" t="s">
        <v>930</v>
      </c>
      <c r="D703" s="142">
        <v>681238825</v>
      </c>
      <c r="E703" s="39" t="s">
        <v>256</v>
      </c>
      <c r="F703" s="81">
        <v>39679</v>
      </c>
      <c r="G703" s="105" t="str">
        <f t="shared" si="20"/>
        <v>Aug</v>
      </c>
      <c r="H703" s="51">
        <f t="shared" ca="1" si="21"/>
        <v>8</v>
      </c>
      <c r="I703" s="52" t="s">
        <v>257</v>
      </c>
      <c r="J703" s="53">
        <v>22820</v>
      </c>
      <c r="K703" s="54">
        <v>5</v>
      </c>
    </row>
    <row r="704" spans="1:11" hidden="1" x14ac:dyDescent="0.25">
      <c r="A704" s="39" t="s">
        <v>953</v>
      </c>
      <c r="B704" s="46" t="s">
        <v>285</v>
      </c>
      <c r="C704" s="39" t="s">
        <v>930</v>
      </c>
      <c r="D704" s="142">
        <v>930510500</v>
      </c>
      <c r="E704" s="39" t="s">
        <v>247</v>
      </c>
      <c r="F704" s="81">
        <v>33144</v>
      </c>
      <c r="G704" s="105" t="str">
        <f t="shared" si="20"/>
        <v>Sep</v>
      </c>
      <c r="H704" s="51">
        <f t="shared" ca="1" si="21"/>
        <v>26</v>
      </c>
      <c r="I704" s="52"/>
      <c r="J704" s="53">
        <v>23340</v>
      </c>
      <c r="K704" s="54">
        <v>4</v>
      </c>
    </row>
    <row r="705" spans="1:11" hidden="1" x14ac:dyDescent="0.25">
      <c r="A705" s="39" t="s">
        <v>957</v>
      </c>
      <c r="B705" s="46" t="s">
        <v>285</v>
      </c>
      <c r="C705" s="39" t="s">
        <v>930</v>
      </c>
      <c r="D705" s="142">
        <v>228046358</v>
      </c>
      <c r="E705" s="39" t="s">
        <v>247</v>
      </c>
      <c r="F705" s="81">
        <v>33495</v>
      </c>
      <c r="G705" s="105" t="str">
        <f t="shared" si="20"/>
        <v>Sep</v>
      </c>
      <c r="H705" s="51">
        <f t="shared" ca="1" si="21"/>
        <v>25</v>
      </c>
      <c r="I705" s="52"/>
      <c r="J705" s="53">
        <v>62480</v>
      </c>
      <c r="K705" s="54">
        <v>5</v>
      </c>
    </row>
    <row r="706" spans="1:11" x14ac:dyDescent="0.25">
      <c r="A706" s="39" t="s">
        <v>983</v>
      </c>
      <c r="B706" s="46" t="s">
        <v>271</v>
      </c>
      <c r="C706" s="39" t="s">
        <v>930</v>
      </c>
      <c r="D706" s="142">
        <v>384347325</v>
      </c>
      <c r="E706" s="39" t="s">
        <v>247</v>
      </c>
      <c r="F706" s="81">
        <v>33506</v>
      </c>
      <c r="G706" s="105" t="str">
        <f t="shared" ref="G706:G740" si="22">CHOOSE(MONTH(F706),"Jan","Feb","Mar","Apr","May","Jun","Jul","Aug","Sep","Oct","Nov","Dec")</f>
        <v>Sep</v>
      </c>
      <c r="H706" s="51">
        <f t="shared" ref="H706:H740" ca="1" si="23">DATEDIF(F706,TODAY(),"Y")</f>
        <v>25</v>
      </c>
      <c r="I706" s="52"/>
      <c r="J706" s="53">
        <v>61134</v>
      </c>
      <c r="K706" s="54">
        <v>4</v>
      </c>
    </row>
    <row r="707" spans="1:11" hidden="1" x14ac:dyDescent="0.25">
      <c r="A707" s="39" t="s">
        <v>995</v>
      </c>
      <c r="B707" s="46" t="s">
        <v>245</v>
      </c>
      <c r="C707" s="39" t="s">
        <v>930</v>
      </c>
      <c r="D707" s="142">
        <v>659516216</v>
      </c>
      <c r="E707" s="39" t="s">
        <v>261</v>
      </c>
      <c r="F707" s="81">
        <v>34960</v>
      </c>
      <c r="G707" s="105" t="str">
        <f t="shared" si="22"/>
        <v>Sep</v>
      </c>
      <c r="H707" s="51">
        <f t="shared" ca="1" si="23"/>
        <v>21</v>
      </c>
      <c r="I707" s="52" t="s">
        <v>276</v>
      </c>
      <c r="J707" s="53">
        <v>23000</v>
      </c>
      <c r="K707" s="54">
        <v>4</v>
      </c>
    </row>
    <row r="708" spans="1:11" hidden="1" x14ac:dyDescent="0.25">
      <c r="A708" s="39" t="s">
        <v>961</v>
      </c>
      <c r="B708" s="46" t="s">
        <v>280</v>
      </c>
      <c r="C708" s="39" t="s">
        <v>930</v>
      </c>
      <c r="D708" s="142">
        <v>602374173</v>
      </c>
      <c r="E708" s="39" t="s">
        <v>247</v>
      </c>
      <c r="F708" s="81">
        <v>35338</v>
      </c>
      <c r="G708" s="105" t="str">
        <f t="shared" si="22"/>
        <v>Sep</v>
      </c>
      <c r="H708" s="51">
        <f t="shared" ca="1" si="23"/>
        <v>20</v>
      </c>
      <c r="I708" s="52"/>
      <c r="J708" s="53">
        <v>87830</v>
      </c>
      <c r="K708" s="54">
        <v>2</v>
      </c>
    </row>
    <row r="709" spans="1:11" hidden="1" x14ac:dyDescent="0.25">
      <c r="A709" s="39" t="s">
        <v>944</v>
      </c>
      <c r="B709" s="46" t="s">
        <v>280</v>
      </c>
      <c r="C709" s="39" t="s">
        <v>930</v>
      </c>
      <c r="D709" s="142">
        <v>313465553</v>
      </c>
      <c r="E709" s="39" t="s">
        <v>261</v>
      </c>
      <c r="F709" s="81">
        <v>36053</v>
      </c>
      <c r="G709" s="105" t="str">
        <f t="shared" si="22"/>
        <v>Sep</v>
      </c>
      <c r="H709" s="51">
        <f t="shared" ca="1" si="23"/>
        <v>18</v>
      </c>
      <c r="I709" s="52" t="s">
        <v>276</v>
      </c>
      <c r="J709" s="53">
        <v>46105</v>
      </c>
      <c r="K709" s="54">
        <v>5</v>
      </c>
    </row>
    <row r="710" spans="1:11" hidden="1" x14ac:dyDescent="0.25">
      <c r="A710" s="39" t="s">
        <v>971</v>
      </c>
      <c r="B710" s="46" t="s">
        <v>266</v>
      </c>
      <c r="C710" s="39" t="s">
        <v>930</v>
      </c>
      <c r="D710" s="142">
        <v>432787417</v>
      </c>
      <c r="E710" s="39" t="s">
        <v>247</v>
      </c>
      <c r="F710" s="81">
        <v>37141</v>
      </c>
      <c r="G710" s="105" t="str">
        <f t="shared" si="22"/>
        <v>Sep</v>
      </c>
      <c r="H710" s="51">
        <f t="shared" ca="1" si="23"/>
        <v>15</v>
      </c>
      <c r="I710" s="52"/>
      <c r="J710" s="53">
        <v>25530</v>
      </c>
      <c r="K710" s="54">
        <v>3</v>
      </c>
    </row>
    <row r="711" spans="1:11" x14ac:dyDescent="0.25">
      <c r="A711" s="39" t="s">
        <v>1007</v>
      </c>
      <c r="B711" s="46" t="s">
        <v>271</v>
      </c>
      <c r="C711" s="39" t="s">
        <v>930</v>
      </c>
      <c r="D711" s="142">
        <v>320413886</v>
      </c>
      <c r="E711" s="39" t="s">
        <v>256</v>
      </c>
      <c r="F711" s="81">
        <v>35364</v>
      </c>
      <c r="G711" s="105" t="str">
        <f t="shared" si="22"/>
        <v>Oct</v>
      </c>
      <c r="H711" s="51">
        <f t="shared" ca="1" si="23"/>
        <v>20</v>
      </c>
      <c r="I711" s="52" t="s">
        <v>257</v>
      </c>
      <c r="J711" s="53">
        <v>27130</v>
      </c>
      <c r="K711" s="54">
        <v>5</v>
      </c>
    </row>
    <row r="712" spans="1:11" hidden="1" x14ac:dyDescent="0.25">
      <c r="A712" s="39" t="s">
        <v>1017</v>
      </c>
      <c r="B712" s="46" t="s">
        <v>251</v>
      </c>
      <c r="C712" s="39" t="s">
        <v>930</v>
      </c>
      <c r="D712" s="142">
        <v>606435031</v>
      </c>
      <c r="E712" s="39" t="s">
        <v>256</v>
      </c>
      <c r="F712" s="81">
        <v>36080</v>
      </c>
      <c r="G712" s="105" t="str">
        <f t="shared" si="22"/>
        <v>Oct</v>
      </c>
      <c r="H712" s="51">
        <f t="shared" ca="1" si="23"/>
        <v>18</v>
      </c>
      <c r="I712" s="52" t="s">
        <v>283</v>
      </c>
      <c r="J712" s="53">
        <v>48410</v>
      </c>
      <c r="K712" s="54">
        <v>5</v>
      </c>
    </row>
    <row r="713" spans="1:11" hidden="1" x14ac:dyDescent="0.25">
      <c r="A713" s="39" t="s">
        <v>979</v>
      </c>
      <c r="B713" s="46" t="s">
        <v>266</v>
      </c>
      <c r="C713" s="39" t="s">
        <v>930</v>
      </c>
      <c r="D713" s="142">
        <v>872873877</v>
      </c>
      <c r="E713" s="39" t="s">
        <v>252</v>
      </c>
      <c r="F713" s="81">
        <v>36458</v>
      </c>
      <c r="G713" s="105" t="str">
        <f t="shared" si="22"/>
        <v>Oct</v>
      </c>
      <c r="H713" s="51">
        <f t="shared" ca="1" si="23"/>
        <v>17</v>
      </c>
      <c r="I713" s="52"/>
      <c r="J713" s="53">
        <v>32536</v>
      </c>
      <c r="K713" s="54">
        <v>2</v>
      </c>
    </row>
    <row r="714" spans="1:11" hidden="1" x14ac:dyDescent="0.25">
      <c r="A714" s="39" t="s">
        <v>956</v>
      </c>
      <c r="B714" s="46" t="s">
        <v>285</v>
      </c>
      <c r="C714" s="39" t="s">
        <v>930</v>
      </c>
      <c r="D714" s="142">
        <v>511158785</v>
      </c>
      <c r="E714" s="39" t="s">
        <v>261</v>
      </c>
      <c r="F714" s="81">
        <v>36462</v>
      </c>
      <c r="G714" s="105" t="str">
        <f t="shared" si="22"/>
        <v>Oct</v>
      </c>
      <c r="H714" s="51">
        <f t="shared" ca="1" si="23"/>
        <v>17</v>
      </c>
      <c r="I714" s="52" t="s">
        <v>283</v>
      </c>
      <c r="J714" s="53">
        <v>26185</v>
      </c>
      <c r="K714" s="54">
        <v>5</v>
      </c>
    </row>
    <row r="715" spans="1:11" hidden="1" x14ac:dyDescent="0.25">
      <c r="A715" s="39" t="s">
        <v>959</v>
      </c>
      <c r="B715" s="46" t="s">
        <v>251</v>
      </c>
      <c r="C715" s="39" t="s">
        <v>930</v>
      </c>
      <c r="D715" s="142">
        <v>698477456</v>
      </c>
      <c r="E715" s="39" t="s">
        <v>256</v>
      </c>
      <c r="F715" s="81">
        <v>38626</v>
      </c>
      <c r="G715" s="105" t="str">
        <f t="shared" si="22"/>
        <v>Oct</v>
      </c>
      <c r="H715" s="51">
        <f t="shared" ca="1" si="23"/>
        <v>11</v>
      </c>
      <c r="I715" s="52" t="s">
        <v>257</v>
      </c>
      <c r="J715" s="53">
        <v>44530</v>
      </c>
      <c r="K715" s="54">
        <v>2</v>
      </c>
    </row>
    <row r="716" spans="1:11" hidden="1" x14ac:dyDescent="0.25">
      <c r="A716" s="39" t="s">
        <v>1011</v>
      </c>
      <c r="B716" s="46" t="s">
        <v>245</v>
      </c>
      <c r="C716" s="39" t="s">
        <v>930</v>
      </c>
      <c r="D716" s="142">
        <v>745950240</v>
      </c>
      <c r="E716" s="39" t="s">
        <v>252</v>
      </c>
      <c r="F716" s="81">
        <v>38646</v>
      </c>
      <c r="G716" s="105" t="str">
        <f t="shared" si="22"/>
        <v>Oct</v>
      </c>
      <c r="H716" s="51">
        <f t="shared" ca="1" si="23"/>
        <v>11</v>
      </c>
      <c r="I716" s="52"/>
      <c r="J716" s="53">
        <v>37344</v>
      </c>
      <c r="K716" s="54">
        <v>2</v>
      </c>
    </row>
    <row r="717" spans="1:11" hidden="1" x14ac:dyDescent="0.25">
      <c r="A717" s="39" t="s">
        <v>984</v>
      </c>
      <c r="B717" s="46" t="s">
        <v>285</v>
      </c>
      <c r="C717" s="39" t="s">
        <v>930</v>
      </c>
      <c r="D717" s="142">
        <v>860384647</v>
      </c>
      <c r="E717" s="39" t="s">
        <v>256</v>
      </c>
      <c r="F717" s="81">
        <v>39728</v>
      </c>
      <c r="G717" s="105" t="str">
        <f t="shared" si="22"/>
        <v>Oct</v>
      </c>
      <c r="H717" s="51">
        <f t="shared" ca="1" si="23"/>
        <v>8</v>
      </c>
      <c r="I717" s="52" t="s">
        <v>257</v>
      </c>
      <c r="J717" s="53">
        <v>82370</v>
      </c>
      <c r="K717" s="54">
        <v>5</v>
      </c>
    </row>
    <row r="718" spans="1:11" hidden="1" x14ac:dyDescent="0.25">
      <c r="A718" s="39" t="s">
        <v>985</v>
      </c>
      <c r="B718" s="46" t="s">
        <v>245</v>
      </c>
      <c r="C718" s="39" t="s">
        <v>930</v>
      </c>
      <c r="D718" s="142">
        <v>985566943</v>
      </c>
      <c r="E718" s="39" t="s">
        <v>247</v>
      </c>
      <c r="F718" s="81">
        <v>39728</v>
      </c>
      <c r="G718" s="105" t="str">
        <f t="shared" si="22"/>
        <v>Oct</v>
      </c>
      <c r="H718" s="51">
        <f t="shared" ca="1" si="23"/>
        <v>8</v>
      </c>
      <c r="I718" s="52"/>
      <c r="J718" s="53">
        <v>86040</v>
      </c>
      <c r="K718" s="54">
        <v>5</v>
      </c>
    </row>
    <row r="719" spans="1:11" x14ac:dyDescent="0.25">
      <c r="A719" s="39" t="s">
        <v>942</v>
      </c>
      <c r="B719" s="46" t="s">
        <v>271</v>
      </c>
      <c r="C719" s="39" t="s">
        <v>930</v>
      </c>
      <c r="D719" s="142">
        <v>357493670</v>
      </c>
      <c r="E719" s="39" t="s">
        <v>247</v>
      </c>
      <c r="F719" s="81">
        <v>33193</v>
      </c>
      <c r="G719" s="105" t="str">
        <f t="shared" si="22"/>
        <v>Nov</v>
      </c>
      <c r="H719" s="51">
        <f t="shared" ca="1" si="23"/>
        <v>26</v>
      </c>
      <c r="I719" s="52"/>
      <c r="J719" s="53">
        <v>63610</v>
      </c>
      <c r="K719" s="54">
        <v>5</v>
      </c>
    </row>
    <row r="720" spans="1:11" hidden="1" x14ac:dyDescent="0.25">
      <c r="A720" s="39" t="s">
        <v>968</v>
      </c>
      <c r="B720" s="46" t="s">
        <v>285</v>
      </c>
      <c r="C720" s="39" t="s">
        <v>930</v>
      </c>
      <c r="D720" s="142">
        <v>304281552</v>
      </c>
      <c r="E720" s="39" t="s">
        <v>247</v>
      </c>
      <c r="F720" s="81">
        <v>33562</v>
      </c>
      <c r="G720" s="105" t="str">
        <f t="shared" si="22"/>
        <v>Nov</v>
      </c>
      <c r="H720" s="51">
        <f t="shared" ca="1" si="23"/>
        <v>24</v>
      </c>
      <c r="I720" s="52"/>
      <c r="J720" s="53">
        <v>57500</v>
      </c>
      <c r="K720" s="54">
        <v>1</v>
      </c>
    </row>
    <row r="721" spans="1:11" hidden="1" x14ac:dyDescent="0.25">
      <c r="A721" s="39" t="s">
        <v>1003</v>
      </c>
      <c r="B721" s="46" t="s">
        <v>266</v>
      </c>
      <c r="C721" s="39" t="s">
        <v>930</v>
      </c>
      <c r="D721" s="142">
        <v>396427379</v>
      </c>
      <c r="E721" s="39" t="s">
        <v>256</v>
      </c>
      <c r="F721" s="81">
        <v>33921</v>
      </c>
      <c r="G721" s="105" t="str">
        <f t="shared" si="22"/>
        <v>Nov</v>
      </c>
      <c r="H721" s="51">
        <f t="shared" ca="1" si="23"/>
        <v>24</v>
      </c>
      <c r="I721" s="52" t="s">
        <v>267</v>
      </c>
      <c r="J721" s="53">
        <v>32160</v>
      </c>
      <c r="K721" s="54">
        <v>3</v>
      </c>
    </row>
    <row r="722" spans="1:11" hidden="1" x14ac:dyDescent="0.25">
      <c r="A722" s="39" t="s">
        <v>1006</v>
      </c>
      <c r="B722" s="46" t="s">
        <v>285</v>
      </c>
      <c r="C722" s="39" t="s">
        <v>930</v>
      </c>
      <c r="D722" s="142">
        <v>330289198</v>
      </c>
      <c r="E722" s="39" t="s">
        <v>256</v>
      </c>
      <c r="F722" s="81">
        <v>34286</v>
      </c>
      <c r="G722" s="105" t="str">
        <f t="shared" si="22"/>
        <v>Nov</v>
      </c>
      <c r="H722" s="51">
        <f t="shared" ca="1" si="23"/>
        <v>23</v>
      </c>
      <c r="I722" s="52" t="s">
        <v>283</v>
      </c>
      <c r="J722" s="53">
        <v>87220</v>
      </c>
      <c r="K722" s="54">
        <v>1</v>
      </c>
    </row>
    <row r="723" spans="1:11" hidden="1" x14ac:dyDescent="0.25">
      <c r="A723" s="39" t="s">
        <v>955</v>
      </c>
      <c r="B723" s="46" t="s">
        <v>251</v>
      </c>
      <c r="C723" s="39" t="s">
        <v>930</v>
      </c>
      <c r="D723" s="142">
        <v>318825201</v>
      </c>
      <c r="E723" s="39" t="s">
        <v>256</v>
      </c>
      <c r="F723" s="81">
        <v>36843</v>
      </c>
      <c r="G723" s="105" t="str">
        <f t="shared" si="22"/>
        <v>Nov</v>
      </c>
      <c r="H723" s="51">
        <f t="shared" ca="1" si="23"/>
        <v>16</v>
      </c>
      <c r="I723" s="52" t="s">
        <v>283</v>
      </c>
      <c r="J723" s="53">
        <v>47630</v>
      </c>
      <c r="K723" s="54">
        <v>3</v>
      </c>
    </row>
    <row r="724" spans="1:11" x14ac:dyDescent="0.25">
      <c r="A724" s="39" t="s">
        <v>950</v>
      </c>
      <c r="B724" s="46" t="s">
        <v>271</v>
      </c>
      <c r="C724" s="39" t="s">
        <v>930</v>
      </c>
      <c r="D724" s="142">
        <v>457078742</v>
      </c>
      <c r="E724" s="39" t="s">
        <v>256</v>
      </c>
      <c r="F724" s="81">
        <v>33957</v>
      </c>
      <c r="G724" s="105" t="str">
        <f t="shared" si="22"/>
        <v>Dec</v>
      </c>
      <c r="H724" s="51">
        <f t="shared" ca="1" si="23"/>
        <v>23</v>
      </c>
      <c r="I724" s="52" t="s">
        <v>262</v>
      </c>
      <c r="J724" s="53">
        <v>59490</v>
      </c>
      <c r="K724" s="54">
        <v>3</v>
      </c>
    </row>
    <row r="725" spans="1:11" x14ac:dyDescent="0.25">
      <c r="A725" s="39" t="s">
        <v>976</v>
      </c>
      <c r="B725" s="46" t="s">
        <v>271</v>
      </c>
      <c r="C725" s="39" t="s">
        <v>930</v>
      </c>
      <c r="D725" s="142">
        <v>299178475</v>
      </c>
      <c r="E725" s="39" t="s">
        <v>256</v>
      </c>
      <c r="F725" s="81">
        <v>34670</v>
      </c>
      <c r="G725" s="105" t="str">
        <f t="shared" si="22"/>
        <v>Dec</v>
      </c>
      <c r="H725" s="51">
        <f t="shared" ca="1" si="23"/>
        <v>21</v>
      </c>
      <c r="I725" s="52" t="s">
        <v>257</v>
      </c>
      <c r="J725" s="53">
        <v>69510</v>
      </c>
      <c r="K725" s="54">
        <v>5</v>
      </c>
    </row>
    <row r="726" spans="1:11" hidden="1" x14ac:dyDescent="0.25">
      <c r="A726" s="39" t="s">
        <v>1016</v>
      </c>
      <c r="B726" s="46" t="s">
        <v>285</v>
      </c>
      <c r="C726" s="39" t="s">
        <v>930</v>
      </c>
      <c r="D726" s="142">
        <v>467608325</v>
      </c>
      <c r="E726" s="39" t="s">
        <v>256</v>
      </c>
      <c r="F726" s="81">
        <v>35052</v>
      </c>
      <c r="G726" s="105" t="str">
        <f t="shared" si="22"/>
        <v>Dec</v>
      </c>
      <c r="H726" s="51">
        <f t="shared" ca="1" si="23"/>
        <v>20</v>
      </c>
      <c r="I726" s="52" t="s">
        <v>267</v>
      </c>
      <c r="J726" s="53">
        <v>64780</v>
      </c>
      <c r="K726" s="54">
        <v>5</v>
      </c>
    </row>
    <row r="727" spans="1:11" hidden="1" x14ac:dyDescent="0.25">
      <c r="A727" s="39" t="s">
        <v>963</v>
      </c>
      <c r="B727" s="46" t="s">
        <v>266</v>
      </c>
      <c r="C727" s="39" t="s">
        <v>930</v>
      </c>
      <c r="D727" s="142">
        <v>919599203</v>
      </c>
      <c r="E727" s="39" t="s">
        <v>256</v>
      </c>
      <c r="F727" s="81">
        <v>35776</v>
      </c>
      <c r="G727" s="105" t="str">
        <f t="shared" si="22"/>
        <v>Dec</v>
      </c>
      <c r="H727" s="51">
        <f t="shared" ca="1" si="23"/>
        <v>18</v>
      </c>
      <c r="I727" s="52" t="s">
        <v>257</v>
      </c>
      <c r="J727" s="53">
        <v>86320</v>
      </c>
      <c r="K727" s="54">
        <v>4</v>
      </c>
    </row>
    <row r="728" spans="1:11" hidden="1" x14ac:dyDescent="0.25">
      <c r="A728" s="39" t="s">
        <v>986</v>
      </c>
      <c r="B728" s="46" t="s">
        <v>285</v>
      </c>
      <c r="C728" s="39" t="s">
        <v>930</v>
      </c>
      <c r="D728" s="142">
        <v>969556466</v>
      </c>
      <c r="E728" s="39" t="s">
        <v>256</v>
      </c>
      <c r="F728" s="81">
        <v>38328</v>
      </c>
      <c r="G728" s="105" t="str">
        <f t="shared" si="22"/>
        <v>Dec</v>
      </c>
      <c r="H728" s="51">
        <f t="shared" ca="1" si="23"/>
        <v>11</v>
      </c>
      <c r="I728" s="52" t="s">
        <v>262</v>
      </c>
      <c r="J728" s="53">
        <v>48280</v>
      </c>
      <c r="K728" s="54">
        <v>4</v>
      </c>
    </row>
    <row r="729" spans="1:11" hidden="1" x14ac:dyDescent="0.25">
      <c r="A729" s="39" t="s">
        <v>982</v>
      </c>
      <c r="B729" s="46" t="s">
        <v>245</v>
      </c>
      <c r="C729" s="39" t="s">
        <v>930</v>
      </c>
      <c r="D729" s="142">
        <v>203183300</v>
      </c>
      <c r="E729" s="39" t="s">
        <v>256</v>
      </c>
      <c r="F729" s="81">
        <v>38347</v>
      </c>
      <c r="G729" s="105" t="str">
        <f t="shared" si="22"/>
        <v>Dec</v>
      </c>
      <c r="H729" s="51">
        <f t="shared" ca="1" si="23"/>
        <v>11</v>
      </c>
      <c r="I729" s="52" t="s">
        <v>283</v>
      </c>
      <c r="J729" s="53">
        <v>81340</v>
      </c>
      <c r="K729" s="54">
        <v>2</v>
      </c>
    </row>
    <row r="730" spans="1:11" hidden="1" x14ac:dyDescent="0.25">
      <c r="A730" s="39" t="s">
        <v>965</v>
      </c>
      <c r="B730" s="46" t="s">
        <v>280</v>
      </c>
      <c r="C730" s="39" t="s">
        <v>930</v>
      </c>
      <c r="D730" s="142">
        <v>820794819</v>
      </c>
      <c r="E730" s="39" t="s">
        <v>256</v>
      </c>
      <c r="F730" s="81">
        <v>39441</v>
      </c>
      <c r="G730" s="105" t="str">
        <f t="shared" si="22"/>
        <v>Dec</v>
      </c>
      <c r="H730" s="51">
        <f t="shared" ca="1" si="23"/>
        <v>8</v>
      </c>
      <c r="I730" s="52" t="s">
        <v>262</v>
      </c>
      <c r="J730" s="53">
        <v>68860</v>
      </c>
      <c r="K730" s="54">
        <v>2</v>
      </c>
    </row>
    <row r="731" spans="1:11" hidden="1" x14ac:dyDescent="0.25">
      <c r="A731" s="39" t="s">
        <v>981</v>
      </c>
      <c r="B731" s="46" t="s">
        <v>285</v>
      </c>
      <c r="C731" s="39" t="s">
        <v>930</v>
      </c>
      <c r="D731" s="142">
        <v>462080698</v>
      </c>
      <c r="E731" s="39" t="s">
        <v>247</v>
      </c>
      <c r="F731" s="81">
        <v>40523</v>
      </c>
      <c r="G731" s="105" t="str">
        <f t="shared" si="22"/>
        <v>Dec</v>
      </c>
      <c r="H731" s="51">
        <f t="shared" ca="1" si="23"/>
        <v>5</v>
      </c>
      <c r="I731" s="52"/>
      <c r="J731" s="53">
        <v>46570</v>
      </c>
      <c r="K731" s="54">
        <v>4</v>
      </c>
    </row>
    <row r="732" spans="1:11" hidden="1" x14ac:dyDescent="0.25">
      <c r="A732" s="39" t="s">
        <v>1019</v>
      </c>
      <c r="B732" s="46" t="s">
        <v>266</v>
      </c>
      <c r="C732" s="39" t="s">
        <v>930</v>
      </c>
      <c r="D732" s="142">
        <v>887657041</v>
      </c>
      <c r="E732" s="39" t="s">
        <v>256</v>
      </c>
      <c r="F732" s="103">
        <v>40536</v>
      </c>
      <c r="G732" s="105" t="str">
        <f t="shared" si="22"/>
        <v>Dec</v>
      </c>
      <c r="H732" s="51">
        <f t="shared" ca="1" si="23"/>
        <v>5</v>
      </c>
      <c r="I732" s="52" t="s">
        <v>283</v>
      </c>
      <c r="J732" s="53">
        <v>70730</v>
      </c>
      <c r="K732" s="54">
        <v>1</v>
      </c>
    </row>
    <row r="733" spans="1:11" hidden="1" x14ac:dyDescent="0.25">
      <c r="A733" s="39" t="s">
        <v>1024</v>
      </c>
      <c r="B733" s="46" t="s">
        <v>266</v>
      </c>
      <c r="C733" s="39" t="s">
        <v>1025</v>
      </c>
      <c r="D733" s="142">
        <v>674002032</v>
      </c>
      <c r="E733" s="39" t="s">
        <v>256</v>
      </c>
      <c r="F733" s="81">
        <v>37684</v>
      </c>
      <c r="G733" s="105" t="str">
        <f t="shared" si="22"/>
        <v>Mar</v>
      </c>
      <c r="H733" s="51">
        <f t="shared" ca="1" si="23"/>
        <v>13</v>
      </c>
      <c r="I733" s="52" t="s">
        <v>283</v>
      </c>
      <c r="J733" s="53">
        <v>42800</v>
      </c>
      <c r="K733" s="54">
        <v>5</v>
      </c>
    </row>
    <row r="734" spans="1:11" x14ac:dyDescent="0.25">
      <c r="A734" s="39" t="s">
        <v>1028</v>
      </c>
      <c r="B734" s="46" t="s">
        <v>271</v>
      </c>
      <c r="C734" s="39" t="s">
        <v>1025</v>
      </c>
      <c r="D734" s="142">
        <v>422387183</v>
      </c>
      <c r="E734" s="39" t="s">
        <v>256</v>
      </c>
      <c r="F734" s="81">
        <v>36991</v>
      </c>
      <c r="G734" s="105" t="str">
        <f t="shared" si="22"/>
        <v>Apr</v>
      </c>
      <c r="H734" s="51">
        <f t="shared" ca="1" si="23"/>
        <v>15</v>
      </c>
      <c r="I734" s="52" t="s">
        <v>257</v>
      </c>
      <c r="J734" s="53">
        <v>63670</v>
      </c>
      <c r="K734" s="54">
        <v>5</v>
      </c>
    </row>
    <row r="735" spans="1:11" hidden="1" x14ac:dyDescent="0.25">
      <c r="A735" s="39" t="s">
        <v>1026</v>
      </c>
      <c r="B735" s="46" t="s">
        <v>245</v>
      </c>
      <c r="C735" s="39" t="s">
        <v>1025</v>
      </c>
      <c r="D735" s="142">
        <v>807251642</v>
      </c>
      <c r="E735" s="39" t="s">
        <v>247</v>
      </c>
      <c r="F735" s="81">
        <v>33387</v>
      </c>
      <c r="G735" s="105" t="str">
        <f t="shared" si="22"/>
        <v>May</v>
      </c>
      <c r="H735" s="51">
        <f t="shared" ca="1" si="23"/>
        <v>25</v>
      </c>
      <c r="I735" s="52"/>
      <c r="J735" s="53">
        <v>85510</v>
      </c>
      <c r="K735" s="54">
        <v>4</v>
      </c>
    </row>
    <row r="736" spans="1:11" x14ac:dyDescent="0.25">
      <c r="A736" s="39" t="s">
        <v>1029</v>
      </c>
      <c r="B736" s="46" t="s">
        <v>271</v>
      </c>
      <c r="C736" s="39" t="s">
        <v>1025</v>
      </c>
      <c r="D736" s="142">
        <v>270109026</v>
      </c>
      <c r="E736" s="39" t="s">
        <v>247</v>
      </c>
      <c r="F736" s="81">
        <v>40719</v>
      </c>
      <c r="G736" s="105" t="str">
        <f t="shared" si="22"/>
        <v>Jun</v>
      </c>
      <c r="H736" s="51">
        <f t="shared" ca="1" si="23"/>
        <v>5</v>
      </c>
      <c r="I736" s="52"/>
      <c r="J736" s="53">
        <v>66132</v>
      </c>
      <c r="K736" s="54">
        <v>4</v>
      </c>
    </row>
    <row r="737" spans="1:14" hidden="1" x14ac:dyDescent="0.25">
      <c r="A737" s="39" t="s">
        <v>1027</v>
      </c>
      <c r="B737" s="46" t="s">
        <v>245</v>
      </c>
      <c r="C737" s="39" t="s">
        <v>1025</v>
      </c>
      <c r="D737" s="142">
        <v>807851416</v>
      </c>
      <c r="E737" s="39" t="s">
        <v>256</v>
      </c>
      <c r="F737" s="81">
        <v>37073</v>
      </c>
      <c r="G737" s="105" t="str">
        <f t="shared" si="22"/>
        <v>Jul</v>
      </c>
      <c r="H737" s="51">
        <f t="shared" ca="1" si="23"/>
        <v>15</v>
      </c>
      <c r="I737" s="52" t="s">
        <v>276</v>
      </c>
      <c r="J737" s="53">
        <v>40680</v>
      </c>
      <c r="K737" s="54">
        <v>5</v>
      </c>
    </row>
    <row r="738" spans="1:14" hidden="1" x14ac:dyDescent="0.25">
      <c r="A738" s="39" t="s">
        <v>1034</v>
      </c>
      <c r="B738" s="46" t="s">
        <v>285</v>
      </c>
      <c r="C738" s="39" t="s">
        <v>1031</v>
      </c>
      <c r="D738" s="142">
        <v>973253888</v>
      </c>
      <c r="E738" s="39" t="s">
        <v>247</v>
      </c>
      <c r="F738" s="81">
        <v>34003</v>
      </c>
      <c r="G738" s="105" t="str">
        <f t="shared" si="22"/>
        <v>Feb</v>
      </c>
      <c r="H738" s="51">
        <f t="shared" ca="1" si="23"/>
        <v>23</v>
      </c>
      <c r="I738" s="52"/>
      <c r="J738" s="53">
        <v>60760</v>
      </c>
      <c r="K738" s="54">
        <v>2</v>
      </c>
      <c r="N738" s="75"/>
    </row>
    <row r="739" spans="1:14" hidden="1" x14ac:dyDescent="0.25">
      <c r="A739" s="39" t="s">
        <v>1033</v>
      </c>
      <c r="B739" s="46" t="s">
        <v>266</v>
      </c>
      <c r="C739" s="39" t="s">
        <v>1031</v>
      </c>
      <c r="D739" s="142">
        <v>133406431</v>
      </c>
      <c r="E739" s="39" t="s">
        <v>261</v>
      </c>
      <c r="F739" s="81">
        <v>36557</v>
      </c>
      <c r="G739" s="105" t="str">
        <f t="shared" si="22"/>
        <v>Feb</v>
      </c>
      <c r="H739" s="51">
        <f t="shared" ca="1" si="23"/>
        <v>16</v>
      </c>
      <c r="I739" s="52" t="s">
        <v>257</v>
      </c>
      <c r="J739" s="53">
        <v>31250</v>
      </c>
      <c r="K739" s="54">
        <v>2</v>
      </c>
    </row>
    <row r="740" spans="1:14" hidden="1" x14ac:dyDescent="0.25">
      <c r="A740" s="39" t="s">
        <v>1030</v>
      </c>
      <c r="B740" s="46" t="s">
        <v>285</v>
      </c>
      <c r="C740" s="39" t="s">
        <v>1031</v>
      </c>
      <c r="D740" s="142">
        <v>668461620</v>
      </c>
      <c r="E740" s="39" t="s">
        <v>247</v>
      </c>
      <c r="F740" s="81">
        <v>34525</v>
      </c>
      <c r="G740" s="105" t="str">
        <f t="shared" si="22"/>
        <v>Jul</v>
      </c>
      <c r="H740" s="51">
        <f t="shared" ca="1" si="23"/>
        <v>22</v>
      </c>
      <c r="I740" s="52"/>
      <c r="J740" s="53">
        <v>64720</v>
      </c>
      <c r="K740" s="54">
        <v>5</v>
      </c>
    </row>
    <row r="741" spans="1:14" hidden="1" x14ac:dyDescent="0.25">
      <c r="A741" s="244" t="s">
        <v>1609</v>
      </c>
      <c r="B741" s="245"/>
      <c r="C741" s="244"/>
      <c r="D741" s="246"/>
      <c r="E741" s="244"/>
      <c r="F741" s="247">
        <v>29587</v>
      </c>
      <c r="G741" s="247" t="str">
        <f>CHOOSE(MONTH(F741),"Jan","Feb","Mar","Apr","May","Jun","Jul","Aug","Sep","Oct","Nov","Dec")</f>
        <v>Jan</v>
      </c>
      <c r="H741" s="248">
        <f ca="1">DATEDIF(F741,TODAY(),"Y")</f>
        <v>35</v>
      </c>
      <c r="I741" s="249"/>
      <c r="J741" s="250"/>
      <c r="K741" s="245"/>
      <c r="L741" s="251"/>
      <c r="M741" s="252"/>
      <c r="N741" s="244"/>
    </row>
    <row r="742" spans="1:14" hidden="1" x14ac:dyDescent="0.25">
      <c r="A742" s="244" t="s">
        <v>1610</v>
      </c>
      <c r="B742" s="245"/>
      <c r="C742" s="244"/>
      <c r="D742" s="246"/>
      <c r="E742" s="244"/>
      <c r="F742" s="247">
        <v>41821</v>
      </c>
      <c r="G742" s="247" t="str">
        <f>CHOOSE(MONTH(F742),"Jan","Feb","Mar","Apr","May","Jun","Jul","Aug","Sep","Oct","Nov","Dec")</f>
        <v>Jul</v>
      </c>
      <c r="H742" s="248">
        <f ca="1">DATEDIF(F742,TODAY(),"Y")</f>
        <v>2</v>
      </c>
      <c r="I742" s="249"/>
      <c r="J742" s="250"/>
      <c r="K742" s="245"/>
      <c r="L742" s="251"/>
      <c r="M742" s="252"/>
      <c r="N742" s="244"/>
    </row>
    <row r="743" spans="1:14" hidden="1" x14ac:dyDescent="0.25">
      <c r="A743" s="244" t="s">
        <v>1035</v>
      </c>
      <c r="B743" s="245" t="s">
        <v>251</v>
      </c>
      <c r="C743" s="244" t="s">
        <v>1031</v>
      </c>
      <c r="D743" s="246">
        <v>125594285</v>
      </c>
      <c r="E743" s="244" t="s">
        <v>256</v>
      </c>
      <c r="F743" s="247">
        <v>40384</v>
      </c>
      <c r="G743" s="247" t="str">
        <f>CHOOSE(MONTH(F743),"Jan","Feb","Mar","Apr","May","Jun","Jul","Aug","Sep","Oct","Nov","Dec")</f>
        <v>Jul</v>
      </c>
      <c r="H743" s="248">
        <f ca="1">DATEDIF(F743,TODAY(),"Y")</f>
        <v>6</v>
      </c>
      <c r="I743" s="249" t="s">
        <v>257</v>
      </c>
      <c r="J743" s="250">
        <v>46680</v>
      </c>
      <c r="K743" s="245">
        <v>1</v>
      </c>
      <c r="L743" s="251"/>
      <c r="M743" s="252"/>
      <c r="N743" s="244"/>
    </row>
    <row r="744" spans="1:14" hidden="1" x14ac:dyDescent="0.25">
      <c r="A744" s="244" t="s">
        <v>1032</v>
      </c>
      <c r="B744" s="245" t="s">
        <v>266</v>
      </c>
      <c r="C744" s="244" t="s">
        <v>1031</v>
      </c>
      <c r="D744" s="246">
        <v>281524582</v>
      </c>
      <c r="E744" s="244" t="s">
        <v>252</v>
      </c>
      <c r="F744" s="247">
        <v>40543</v>
      </c>
      <c r="G744" s="247" t="str">
        <f>CHOOSE(MONTH(F744),"Jan","Feb","Mar","Apr","May","Jun","Jul","Aug","Sep","Oct","Nov","Dec")</f>
        <v>Dec</v>
      </c>
      <c r="H744" s="248">
        <f ca="1">DATEDIF(F744,TODAY(),"Y")</f>
        <v>5</v>
      </c>
      <c r="I744" s="249"/>
      <c r="J744" s="250">
        <v>19044</v>
      </c>
      <c r="K744" s="245">
        <v>1</v>
      </c>
      <c r="L744" s="251"/>
      <c r="M744" s="252"/>
      <c r="N744" s="244"/>
    </row>
  </sheetData>
  <pageMargins left="0.75" right="0.75" top="1" bottom="1" header="0.5" footer="0.5"/>
  <pageSetup orientation="portrait" r:id="rId1"/>
  <headerFooter alignWithMargins="0"/>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5" sqref="B3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914"/>
  <sheetViews>
    <sheetView zoomScale="85" zoomScaleNormal="85" workbookViewId="0">
      <selection activeCell="H307" sqref="H307"/>
    </sheetView>
  </sheetViews>
  <sheetFormatPr defaultColWidth="18" defaultRowHeight="15" x14ac:dyDescent="0.25"/>
  <cols>
    <col min="1" max="1" width="13" style="145" customWidth="1"/>
    <col min="2" max="2" width="15.7109375" style="145" bestFit="1" customWidth="1"/>
    <col min="3" max="3" width="8.85546875" style="145" customWidth="1"/>
    <col min="4" max="4" width="15.85546875" style="145" bestFit="1" customWidth="1"/>
    <col min="5" max="5" width="11.28515625" style="147" bestFit="1" customWidth="1"/>
    <col min="6" max="6" width="8.28515625" style="146" customWidth="1"/>
    <col min="7" max="7" width="14.42578125" style="146" customWidth="1"/>
    <col min="8" max="8" width="36.85546875" style="145" customWidth="1"/>
    <col min="9" max="10" width="11.5703125" style="145" customWidth="1"/>
    <col min="11" max="11" width="16.28515625" style="145" customWidth="1"/>
    <col min="12" max="15" width="6.42578125" style="145" customWidth="1"/>
    <col min="16" max="16" width="11" style="145" customWidth="1"/>
    <col min="17" max="20" width="11.42578125" style="145" customWidth="1"/>
    <col min="21" max="21" width="16.140625" style="145" bestFit="1" customWidth="1"/>
    <col min="22" max="25" width="10" style="145" customWidth="1"/>
    <col min="26" max="26" width="14.7109375" style="145" customWidth="1"/>
    <col min="27" max="27" width="10.5703125" style="145" customWidth="1"/>
    <col min="28" max="32" width="16.28515625" style="145" customWidth="1"/>
    <col min="33" max="33" width="9.28515625" style="145" customWidth="1"/>
    <col min="34" max="34" width="11.28515625" style="145" customWidth="1"/>
    <col min="35" max="16384" width="18" style="145"/>
  </cols>
  <sheetData>
    <row r="1" spans="1:8" ht="27" thickBot="1" x14ac:dyDescent="0.3">
      <c r="A1" s="156" t="s">
        <v>1466</v>
      </c>
      <c r="B1" s="155"/>
      <c r="C1" s="155"/>
      <c r="D1" s="155"/>
      <c r="E1" s="155"/>
      <c r="F1" s="155"/>
      <c r="G1" s="154"/>
    </row>
    <row r="2" spans="1:8" ht="15.75" thickBot="1" x14ac:dyDescent="0.3">
      <c r="A2" s="153"/>
      <c r="B2" s="153"/>
      <c r="C2" s="153"/>
      <c r="D2" s="153"/>
      <c r="E2" s="153"/>
      <c r="F2" s="153"/>
      <c r="G2" s="153"/>
    </row>
    <row r="3" spans="1:8" ht="15.75" thickBot="1" x14ac:dyDescent="0.3">
      <c r="A3" s="253" t="s">
        <v>1465</v>
      </c>
      <c r="B3" s="253" t="s">
        <v>1464</v>
      </c>
      <c r="C3" s="253" t="s">
        <v>1463</v>
      </c>
      <c r="D3" s="253" t="s">
        <v>1462</v>
      </c>
      <c r="E3" s="254" t="s">
        <v>1064</v>
      </c>
      <c r="F3" s="255" t="s">
        <v>1461</v>
      </c>
      <c r="G3" s="255" t="s">
        <v>1423</v>
      </c>
      <c r="H3" s="263" t="s">
        <v>1612</v>
      </c>
    </row>
    <row r="4" spans="1:8" hidden="1" x14ac:dyDescent="0.25">
      <c r="A4" s="145" t="s">
        <v>1442</v>
      </c>
      <c r="B4" s="145" t="s">
        <v>1460</v>
      </c>
      <c r="C4" s="145" t="s">
        <v>1445</v>
      </c>
      <c r="D4" s="145" t="s">
        <v>1455</v>
      </c>
      <c r="E4" s="149">
        <v>40406</v>
      </c>
      <c r="F4" s="146">
        <v>1</v>
      </c>
      <c r="G4" s="146">
        <v>894</v>
      </c>
      <c r="H4" s="152"/>
    </row>
    <row r="5" spans="1:8" hidden="1" x14ac:dyDescent="0.25">
      <c r="A5" s="145" t="s">
        <v>1443</v>
      </c>
      <c r="B5" s="145" t="s">
        <v>1460</v>
      </c>
      <c r="C5" s="145" t="s">
        <v>1436</v>
      </c>
      <c r="D5" s="145" t="s">
        <v>1455</v>
      </c>
      <c r="E5" s="149">
        <v>40708</v>
      </c>
      <c r="F5" s="146">
        <v>1</v>
      </c>
      <c r="G5" s="146">
        <v>418</v>
      </c>
      <c r="H5" s="152"/>
    </row>
    <row r="6" spans="1:8" hidden="1" x14ac:dyDescent="0.25">
      <c r="A6" s="145" t="s">
        <v>1449</v>
      </c>
      <c r="B6" s="145" t="s">
        <v>1460</v>
      </c>
      <c r="C6" s="145" t="s">
        <v>1436</v>
      </c>
      <c r="D6" s="145" t="s">
        <v>1455</v>
      </c>
      <c r="E6" s="149">
        <v>40710</v>
      </c>
      <c r="F6" s="146">
        <v>1</v>
      </c>
      <c r="G6" s="146">
        <v>655</v>
      </c>
      <c r="H6" s="152"/>
    </row>
    <row r="7" spans="1:8" hidden="1" x14ac:dyDescent="0.25">
      <c r="A7" s="145" t="s">
        <v>1448</v>
      </c>
      <c r="B7" s="145" t="s">
        <v>1460</v>
      </c>
      <c r="C7" s="145" t="s">
        <v>1441</v>
      </c>
      <c r="D7" s="145" t="s">
        <v>1453</v>
      </c>
      <c r="E7" s="149">
        <v>40856</v>
      </c>
      <c r="F7" s="146">
        <v>1</v>
      </c>
      <c r="G7" s="146">
        <v>582</v>
      </c>
      <c r="H7" s="152"/>
    </row>
    <row r="8" spans="1:8" hidden="1" x14ac:dyDescent="0.25">
      <c r="A8" s="145" t="s">
        <v>1447</v>
      </c>
      <c r="B8" s="145" t="s">
        <v>1460</v>
      </c>
      <c r="C8" s="145" t="s">
        <v>1436</v>
      </c>
      <c r="D8" s="145" t="s">
        <v>1453</v>
      </c>
      <c r="E8" s="149">
        <v>40222</v>
      </c>
      <c r="F8" s="146">
        <v>1</v>
      </c>
      <c r="G8" s="150">
        <v>769</v>
      </c>
      <c r="H8" s="152"/>
    </row>
    <row r="9" spans="1:8" hidden="1" x14ac:dyDescent="0.25">
      <c r="A9" s="145" t="s">
        <v>1447</v>
      </c>
      <c r="B9" s="145" t="s">
        <v>1460</v>
      </c>
      <c r="C9" s="145" t="s">
        <v>1445</v>
      </c>
      <c r="D9" s="145" t="s">
        <v>1452</v>
      </c>
      <c r="E9" s="149">
        <v>40868</v>
      </c>
      <c r="F9" s="146">
        <v>1</v>
      </c>
      <c r="G9" s="146">
        <v>572</v>
      </c>
      <c r="H9" s="152"/>
    </row>
    <row r="10" spans="1:8" hidden="1" x14ac:dyDescent="0.25">
      <c r="A10" s="145" t="s">
        <v>1446</v>
      </c>
      <c r="B10" s="145" t="s">
        <v>1460</v>
      </c>
      <c r="C10" s="145" t="s">
        <v>1441</v>
      </c>
      <c r="D10" s="145" t="s">
        <v>1452</v>
      </c>
      <c r="E10" s="149">
        <v>40428</v>
      </c>
      <c r="F10" s="146">
        <v>1</v>
      </c>
      <c r="G10" s="146">
        <v>567</v>
      </c>
      <c r="H10" s="152"/>
    </row>
    <row r="11" spans="1:8" hidden="1" x14ac:dyDescent="0.25">
      <c r="A11" s="145" t="s">
        <v>1444</v>
      </c>
      <c r="B11" s="145" t="s">
        <v>1460</v>
      </c>
      <c r="C11" s="145" t="s">
        <v>1445</v>
      </c>
      <c r="D11" s="145" t="s">
        <v>1455</v>
      </c>
      <c r="E11" s="149">
        <v>40379</v>
      </c>
      <c r="F11" s="146">
        <v>2</v>
      </c>
      <c r="G11" s="146">
        <v>972</v>
      </c>
      <c r="H11" s="152"/>
    </row>
    <row r="12" spans="1:8" hidden="1" x14ac:dyDescent="0.25">
      <c r="A12" s="145" t="s">
        <v>1442</v>
      </c>
      <c r="B12" s="145" t="s">
        <v>1460</v>
      </c>
      <c r="C12" s="145" t="s">
        <v>1441</v>
      </c>
      <c r="D12" s="145" t="s">
        <v>1455</v>
      </c>
      <c r="E12" s="149">
        <v>40568</v>
      </c>
      <c r="F12" s="146">
        <v>2</v>
      </c>
      <c r="G12" s="146">
        <v>940</v>
      </c>
      <c r="H12" s="152"/>
    </row>
    <row r="13" spans="1:8" hidden="1" x14ac:dyDescent="0.25">
      <c r="A13" s="145" t="s">
        <v>1438</v>
      </c>
      <c r="B13" s="145" t="s">
        <v>1460</v>
      </c>
      <c r="C13" s="145" t="s">
        <v>1436</v>
      </c>
      <c r="D13" s="145" t="s">
        <v>1455</v>
      </c>
      <c r="E13" s="149">
        <v>40473</v>
      </c>
      <c r="F13" s="146">
        <v>2</v>
      </c>
      <c r="G13" s="146">
        <v>1570</v>
      </c>
      <c r="H13" s="152"/>
    </row>
    <row r="14" spans="1:8" hidden="1" x14ac:dyDescent="0.25">
      <c r="A14" s="145" t="s">
        <v>1449</v>
      </c>
      <c r="B14" s="145" t="s">
        <v>1460</v>
      </c>
      <c r="C14" s="145" t="s">
        <v>1436</v>
      </c>
      <c r="D14" s="145" t="s">
        <v>1455</v>
      </c>
      <c r="E14" s="149">
        <v>40850</v>
      </c>
      <c r="F14" s="146">
        <v>2</v>
      </c>
      <c r="G14" s="146">
        <v>1292</v>
      </c>
      <c r="H14" s="152"/>
    </row>
    <row r="15" spans="1:8" hidden="1" x14ac:dyDescent="0.25">
      <c r="A15" s="145" t="s">
        <v>1440</v>
      </c>
      <c r="B15" s="145" t="s">
        <v>1460</v>
      </c>
      <c r="C15" s="145" t="s">
        <v>1445</v>
      </c>
      <c r="D15" s="145" t="s">
        <v>1453</v>
      </c>
      <c r="E15" s="149">
        <v>40295</v>
      </c>
      <c r="F15" s="146">
        <v>2</v>
      </c>
      <c r="G15" s="146">
        <v>1648</v>
      </c>
      <c r="H15" s="152"/>
    </row>
    <row r="16" spans="1:8" hidden="1" x14ac:dyDescent="0.25">
      <c r="A16" s="145" t="s">
        <v>1448</v>
      </c>
      <c r="B16" s="145" t="s">
        <v>1460</v>
      </c>
      <c r="C16" s="145" t="s">
        <v>1439</v>
      </c>
      <c r="D16" s="145" t="s">
        <v>1453</v>
      </c>
      <c r="E16" s="149">
        <v>40361</v>
      </c>
      <c r="F16" s="146">
        <v>2</v>
      </c>
      <c r="G16" s="146">
        <v>978</v>
      </c>
      <c r="H16" s="152"/>
    </row>
    <row r="17" spans="1:8" hidden="1" x14ac:dyDescent="0.25">
      <c r="A17" s="145" t="s">
        <v>1443</v>
      </c>
      <c r="B17" s="145" t="s">
        <v>1460</v>
      </c>
      <c r="C17" s="145" t="s">
        <v>1445</v>
      </c>
      <c r="D17" s="145" t="s">
        <v>1452</v>
      </c>
      <c r="E17" s="149">
        <v>40383</v>
      </c>
      <c r="F17" s="146">
        <v>2</v>
      </c>
      <c r="G17" s="146">
        <v>1242</v>
      </c>
      <c r="H17" s="152"/>
    </row>
    <row r="18" spans="1:8" hidden="1" x14ac:dyDescent="0.25">
      <c r="A18" s="145" t="s">
        <v>1451</v>
      </c>
      <c r="B18" s="145" t="s">
        <v>1460</v>
      </c>
      <c r="C18" s="145" t="s">
        <v>1439</v>
      </c>
      <c r="D18" s="145" t="s">
        <v>1452</v>
      </c>
      <c r="E18" s="149">
        <v>40186</v>
      </c>
      <c r="F18" s="146">
        <v>2</v>
      </c>
      <c r="G18" s="150">
        <v>1316</v>
      </c>
      <c r="H18" s="152"/>
    </row>
    <row r="19" spans="1:8" hidden="1" x14ac:dyDescent="0.25">
      <c r="A19" s="145" t="s">
        <v>1456</v>
      </c>
      <c r="B19" s="145" t="s">
        <v>1460</v>
      </c>
      <c r="C19" s="145" t="s">
        <v>1436</v>
      </c>
      <c r="D19" s="145" t="s">
        <v>1452</v>
      </c>
      <c r="E19" s="149">
        <v>40687</v>
      </c>
      <c r="F19" s="146">
        <v>2</v>
      </c>
      <c r="G19" s="146">
        <v>1466</v>
      </c>
      <c r="H19" s="152"/>
    </row>
    <row r="20" spans="1:8" hidden="1" x14ac:dyDescent="0.25">
      <c r="A20" s="145" t="s">
        <v>1446</v>
      </c>
      <c r="B20" s="145" t="s">
        <v>1460</v>
      </c>
      <c r="C20" s="145" t="s">
        <v>1436</v>
      </c>
      <c r="D20" s="145" t="s">
        <v>1450</v>
      </c>
      <c r="E20" s="149">
        <v>40504</v>
      </c>
      <c r="F20" s="146">
        <v>2</v>
      </c>
      <c r="G20" s="146">
        <v>1350</v>
      </c>
      <c r="H20" s="152"/>
    </row>
    <row r="21" spans="1:8" hidden="1" x14ac:dyDescent="0.25">
      <c r="A21" s="145" t="s">
        <v>1449</v>
      </c>
      <c r="B21" s="145" t="s">
        <v>1460</v>
      </c>
      <c r="C21" s="145" t="s">
        <v>1441</v>
      </c>
      <c r="D21" s="145" t="s">
        <v>1455</v>
      </c>
      <c r="E21" s="149">
        <v>40561</v>
      </c>
      <c r="F21" s="146">
        <v>3</v>
      </c>
      <c r="G21" s="146">
        <v>2508</v>
      </c>
      <c r="H21" s="152"/>
    </row>
    <row r="22" spans="1:8" hidden="1" x14ac:dyDescent="0.25">
      <c r="A22" s="145" t="s">
        <v>1440</v>
      </c>
      <c r="B22" s="145" t="s">
        <v>1460</v>
      </c>
      <c r="C22" s="145" t="s">
        <v>1439</v>
      </c>
      <c r="D22" s="145" t="s">
        <v>1453</v>
      </c>
      <c r="E22" s="149">
        <v>40338</v>
      </c>
      <c r="F22" s="146">
        <v>3</v>
      </c>
      <c r="G22" s="146">
        <v>2058</v>
      </c>
      <c r="H22" s="152"/>
    </row>
    <row r="23" spans="1:8" hidden="1" x14ac:dyDescent="0.25">
      <c r="A23" s="145" t="s">
        <v>1449</v>
      </c>
      <c r="B23" s="145" t="s">
        <v>1460</v>
      </c>
      <c r="C23" s="145" t="s">
        <v>1439</v>
      </c>
      <c r="D23" s="145" t="s">
        <v>1453</v>
      </c>
      <c r="E23" s="149">
        <v>40827</v>
      </c>
      <c r="F23" s="146">
        <v>3</v>
      </c>
      <c r="G23" s="146">
        <v>2253</v>
      </c>
      <c r="H23" s="152"/>
    </row>
    <row r="24" spans="1:8" hidden="1" x14ac:dyDescent="0.25">
      <c r="A24" s="145" t="s">
        <v>1454</v>
      </c>
      <c r="B24" s="145" t="s">
        <v>1460</v>
      </c>
      <c r="C24" s="145" t="s">
        <v>1436</v>
      </c>
      <c r="D24" s="145" t="s">
        <v>1453</v>
      </c>
      <c r="E24" s="149">
        <v>40369</v>
      </c>
      <c r="F24" s="146">
        <v>3</v>
      </c>
      <c r="G24" s="146">
        <v>2649</v>
      </c>
      <c r="H24" s="152"/>
    </row>
    <row r="25" spans="1:8" hidden="1" x14ac:dyDescent="0.25">
      <c r="A25" s="145" t="s">
        <v>1442</v>
      </c>
      <c r="B25" s="145" t="s">
        <v>1460</v>
      </c>
      <c r="C25" s="145" t="s">
        <v>1441</v>
      </c>
      <c r="D25" s="145" t="s">
        <v>1452</v>
      </c>
      <c r="E25" s="149">
        <v>40494</v>
      </c>
      <c r="F25" s="146">
        <v>3</v>
      </c>
      <c r="G25" s="146">
        <v>1542</v>
      </c>
      <c r="H25" s="152"/>
    </row>
    <row r="26" spans="1:8" hidden="1" x14ac:dyDescent="0.25">
      <c r="A26" s="145" t="s">
        <v>1449</v>
      </c>
      <c r="B26" s="145" t="s">
        <v>1460</v>
      </c>
      <c r="C26" s="145" t="s">
        <v>1439</v>
      </c>
      <c r="D26" s="145" t="s">
        <v>1452</v>
      </c>
      <c r="E26" s="149">
        <v>40896</v>
      </c>
      <c r="F26" s="146">
        <v>3</v>
      </c>
      <c r="G26" s="146">
        <v>1386</v>
      </c>
      <c r="H26" s="152"/>
    </row>
    <row r="27" spans="1:8" hidden="1" x14ac:dyDescent="0.25">
      <c r="A27" s="145" t="s">
        <v>1440</v>
      </c>
      <c r="B27" s="145" t="s">
        <v>1460</v>
      </c>
      <c r="C27" s="145" t="s">
        <v>1436</v>
      </c>
      <c r="D27" s="145" t="s">
        <v>1452</v>
      </c>
      <c r="E27" s="149">
        <v>40701</v>
      </c>
      <c r="F27" s="146">
        <v>3</v>
      </c>
      <c r="G27" s="146">
        <v>1896</v>
      </c>
      <c r="H27" s="152"/>
    </row>
    <row r="28" spans="1:8" hidden="1" x14ac:dyDescent="0.25">
      <c r="A28" s="145" t="s">
        <v>1451</v>
      </c>
      <c r="B28" s="145" t="s">
        <v>1460</v>
      </c>
      <c r="C28" s="145" t="s">
        <v>1441</v>
      </c>
      <c r="D28" s="145" t="s">
        <v>1450</v>
      </c>
      <c r="E28" s="149">
        <v>40863</v>
      </c>
      <c r="F28" s="146">
        <v>3</v>
      </c>
      <c r="G28" s="146">
        <v>2337</v>
      </c>
      <c r="H28" s="152"/>
    </row>
    <row r="29" spans="1:8" hidden="1" x14ac:dyDescent="0.25">
      <c r="A29" s="145" t="s">
        <v>1449</v>
      </c>
      <c r="B29" s="145" t="s">
        <v>1460</v>
      </c>
      <c r="C29" s="145" t="s">
        <v>1436</v>
      </c>
      <c r="D29" s="145" t="s">
        <v>1450</v>
      </c>
      <c r="E29" s="149">
        <v>40344</v>
      </c>
      <c r="F29" s="146">
        <v>3</v>
      </c>
      <c r="G29" s="146">
        <v>1659</v>
      </c>
      <c r="H29" s="152"/>
    </row>
    <row r="30" spans="1:8" hidden="1" x14ac:dyDescent="0.25">
      <c r="A30" s="145" t="s">
        <v>1440</v>
      </c>
      <c r="B30" s="145" t="s">
        <v>1460</v>
      </c>
      <c r="C30" s="145" t="s">
        <v>1441</v>
      </c>
      <c r="D30" s="145" t="s">
        <v>1455</v>
      </c>
      <c r="E30" s="149">
        <v>40479</v>
      </c>
      <c r="F30" s="146">
        <v>4</v>
      </c>
      <c r="G30" s="146">
        <v>2116</v>
      </c>
      <c r="H30" s="152"/>
    </row>
    <row r="31" spans="1:8" hidden="1" x14ac:dyDescent="0.25">
      <c r="A31" s="145" t="s">
        <v>1449</v>
      </c>
      <c r="B31" s="145" t="s">
        <v>1460</v>
      </c>
      <c r="C31" s="145" t="s">
        <v>1439</v>
      </c>
      <c r="D31" s="145" t="s">
        <v>1455</v>
      </c>
      <c r="E31" s="149">
        <v>40411</v>
      </c>
      <c r="F31" s="146">
        <v>4</v>
      </c>
      <c r="G31" s="146">
        <v>3052</v>
      </c>
      <c r="H31" s="152"/>
    </row>
    <row r="32" spans="1:8" hidden="1" x14ac:dyDescent="0.25">
      <c r="A32" s="145" t="s">
        <v>1438</v>
      </c>
      <c r="B32" s="145" t="s">
        <v>1460</v>
      </c>
      <c r="C32" s="145" t="s">
        <v>1439</v>
      </c>
      <c r="D32" s="145" t="s">
        <v>1453</v>
      </c>
      <c r="E32" s="149">
        <v>40217</v>
      </c>
      <c r="F32" s="146">
        <v>4</v>
      </c>
      <c r="G32" s="150">
        <v>2656</v>
      </c>
      <c r="H32" s="152"/>
    </row>
    <row r="33" spans="1:8" hidden="1" x14ac:dyDescent="0.25">
      <c r="A33" s="145" t="s">
        <v>1443</v>
      </c>
      <c r="B33" s="145" t="s">
        <v>1460</v>
      </c>
      <c r="C33" s="145" t="s">
        <v>1445</v>
      </c>
      <c r="D33" s="145" t="s">
        <v>1452</v>
      </c>
      <c r="E33" s="149">
        <v>40280</v>
      </c>
      <c r="F33" s="146">
        <v>4</v>
      </c>
      <c r="G33" s="146">
        <v>3512</v>
      </c>
      <c r="H33" s="152"/>
    </row>
    <row r="34" spans="1:8" hidden="1" x14ac:dyDescent="0.25">
      <c r="A34" s="145" t="s">
        <v>1451</v>
      </c>
      <c r="B34" s="145" t="s">
        <v>1460</v>
      </c>
      <c r="C34" s="145" t="s">
        <v>1439</v>
      </c>
      <c r="D34" s="145" t="s">
        <v>1452</v>
      </c>
      <c r="E34" s="149">
        <v>40591</v>
      </c>
      <c r="F34" s="146">
        <v>4</v>
      </c>
      <c r="G34" s="146">
        <v>2092</v>
      </c>
      <c r="H34" s="152"/>
    </row>
    <row r="35" spans="1:8" hidden="1" x14ac:dyDescent="0.25">
      <c r="A35" s="145" t="s">
        <v>1446</v>
      </c>
      <c r="B35" s="145" t="s">
        <v>1460</v>
      </c>
      <c r="C35" s="145" t="s">
        <v>1439</v>
      </c>
      <c r="D35" s="145" t="s">
        <v>1452</v>
      </c>
      <c r="E35" s="149">
        <v>40814</v>
      </c>
      <c r="F35" s="146">
        <v>4</v>
      </c>
      <c r="G35" s="146">
        <v>2720</v>
      </c>
      <c r="H35" s="152"/>
    </row>
    <row r="36" spans="1:8" hidden="1" x14ac:dyDescent="0.25">
      <c r="A36" s="145" t="s">
        <v>1442</v>
      </c>
      <c r="B36" s="145" t="s">
        <v>1460</v>
      </c>
      <c r="C36" s="145" t="s">
        <v>1436</v>
      </c>
      <c r="D36" s="145" t="s">
        <v>1452</v>
      </c>
      <c r="E36" s="149">
        <v>40687</v>
      </c>
      <c r="F36" s="146">
        <v>4</v>
      </c>
      <c r="G36" s="146">
        <v>2580</v>
      </c>
      <c r="H36" s="152"/>
    </row>
    <row r="37" spans="1:8" hidden="1" x14ac:dyDescent="0.25">
      <c r="A37" s="145" t="s">
        <v>1449</v>
      </c>
      <c r="B37" s="145" t="s">
        <v>1460</v>
      </c>
      <c r="C37" s="145" t="s">
        <v>1439</v>
      </c>
      <c r="D37" s="145" t="s">
        <v>1450</v>
      </c>
      <c r="E37" s="149">
        <v>40427</v>
      </c>
      <c r="F37" s="146">
        <v>4</v>
      </c>
      <c r="G37" s="146">
        <v>3420</v>
      </c>
      <c r="H37" s="152"/>
    </row>
    <row r="38" spans="1:8" hidden="1" x14ac:dyDescent="0.25">
      <c r="A38" s="145" t="s">
        <v>1438</v>
      </c>
      <c r="B38" s="145" t="s">
        <v>1460</v>
      </c>
      <c r="C38" s="145" t="s">
        <v>1439</v>
      </c>
      <c r="D38" s="145" t="s">
        <v>1450</v>
      </c>
      <c r="E38" s="149">
        <v>40442</v>
      </c>
      <c r="F38" s="146">
        <v>4</v>
      </c>
      <c r="G38" s="146">
        <v>2276</v>
      </c>
      <c r="H38" s="152"/>
    </row>
    <row r="39" spans="1:8" hidden="1" x14ac:dyDescent="0.25">
      <c r="A39" s="145" t="s">
        <v>1456</v>
      </c>
      <c r="B39" s="145" t="s">
        <v>1460</v>
      </c>
      <c r="C39" s="145" t="s">
        <v>1445</v>
      </c>
      <c r="D39" s="145" t="s">
        <v>1455</v>
      </c>
      <c r="E39" s="149">
        <v>40884</v>
      </c>
      <c r="F39" s="146">
        <v>5</v>
      </c>
      <c r="G39" s="146">
        <v>3315</v>
      </c>
      <c r="H39" s="152"/>
    </row>
    <row r="40" spans="1:8" hidden="1" x14ac:dyDescent="0.25">
      <c r="A40" s="145" t="s">
        <v>1438</v>
      </c>
      <c r="B40" s="145" t="s">
        <v>1460</v>
      </c>
      <c r="C40" s="145" t="s">
        <v>1436</v>
      </c>
      <c r="D40" s="145" t="s">
        <v>1455</v>
      </c>
      <c r="E40" s="149">
        <v>40326</v>
      </c>
      <c r="F40" s="146">
        <v>5</v>
      </c>
      <c r="G40" s="146">
        <v>3130</v>
      </c>
      <c r="H40" s="152"/>
    </row>
    <row r="41" spans="1:8" hidden="1" x14ac:dyDescent="0.25">
      <c r="A41" s="145" t="s">
        <v>1448</v>
      </c>
      <c r="B41" s="145" t="s">
        <v>1460</v>
      </c>
      <c r="C41" s="145" t="s">
        <v>1445</v>
      </c>
      <c r="D41" s="145" t="s">
        <v>1453</v>
      </c>
      <c r="E41" s="149">
        <v>40499</v>
      </c>
      <c r="F41" s="146">
        <v>5</v>
      </c>
      <c r="G41" s="146">
        <v>3765</v>
      </c>
      <c r="H41" s="152"/>
    </row>
    <row r="42" spans="1:8" hidden="1" x14ac:dyDescent="0.25">
      <c r="A42" s="145" t="s">
        <v>1448</v>
      </c>
      <c r="B42" s="145" t="s">
        <v>1460</v>
      </c>
      <c r="C42" s="145" t="s">
        <v>1441</v>
      </c>
      <c r="D42" s="145" t="s">
        <v>1453</v>
      </c>
      <c r="E42" s="149">
        <v>40207</v>
      </c>
      <c r="F42" s="146">
        <v>5</v>
      </c>
      <c r="G42" s="150">
        <v>4475</v>
      </c>
      <c r="H42" s="152"/>
    </row>
    <row r="43" spans="1:8" hidden="1" x14ac:dyDescent="0.25">
      <c r="A43" s="145" t="s">
        <v>1444</v>
      </c>
      <c r="B43" s="145" t="s">
        <v>1460</v>
      </c>
      <c r="C43" s="145" t="s">
        <v>1439</v>
      </c>
      <c r="D43" s="145" t="s">
        <v>1453</v>
      </c>
      <c r="E43" s="149">
        <v>40225</v>
      </c>
      <c r="F43" s="146">
        <v>5</v>
      </c>
      <c r="G43" s="150">
        <v>2910</v>
      </c>
      <c r="H43" s="152"/>
    </row>
    <row r="44" spans="1:8" hidden="1" x14ac:dyDescent="0.25">
      <c r="A44" s="145" t="s">
        <v>1454</v>
      </c>
      <c r="B44" s="145" t="s">
        <v>1460</v>
      </c>
      <c r="C44" s="145" t="s">
        <v>1436</v>
      </c>
      <c r="D44" s="145" t="s">
        <v>1453</v>
      </c>
      <c r="E44" s="149">
        <v>40470</v>
      </c>
      <c r="F44" s="146">
        <v>5</v>
      </c>
      <c r="G44" s="146">
        <v>2315</v>
      </c>
      <c r="H44" s="152"/>
    </row>
    <row r="45" spans="1:8" hidden="1" x14ac:dyDescent="0.25">
      <c r="A45" s="145" t="s">
        <v>1449</v>
      </c>
      <c r="B45" s="145" t="s">
        <v>1460</v>
      </c>
      <c r="C45" s="145" t="s">
        <v>1445</v>
      </c>
      <c r="D45" s="145" t="s">
        <v>1452</v>
      </c>
      <c r="E45" s="149">
        <v>40841</v>
      </c>
      <c r="F45" s="146">
        <v>5</v>
      </c>
      <c r="G45" s="146">
        <v>2530</v>
      </c>
      <c r="H45" s="152"/>
    </row>
    <row r="46" spans="1:8" hidden="1" x14ac:dyDescent="0.25">
      <c r="A46" s="145" t="s">
        <v>1438</v>
      </c>
      <c r="B46" s="145" t="s">
        <v>1460</v>
      </c>
      <c r="C46" s="145" t="s">
        <v>1441</v>
      </c>
      <c r="D46" s="145" t="s">
        <v>1452</v>
      </c>
      <c r="E46" s="149">
        <v>40394</v>
      </c>
      <c r="F46" s="146">
        <v>5</v>
      </c>
      <c r="G46" s="146">
        <v>3110</v>
      </c>
      <c r="H46" s="152"/>
    </row>
    <row r="47" spans="1:8" hidden="1" x14ac:dyDescent="0.25">
      <c r="A47" s="145" t="s">
        <v>1451</v>
      </c>
      <c r="B47" s="145" t="s">
        <v>1460</v>
      </c>
      <c r="C47" s="145" t="s">
        <v>1445</v>
      </c>
      <c r="D47" s="145" t="s">
        <v>1450</v>
      </c>
      <c r="E47" s="149">
        <v>40729</v>
      </c>
      <c r="F47" s="146">
        <v>5</v>
      </c>
      <c r="G47" s="146">
        <v>3970</v>
      </c>
      <c r="H47" s="152"/>
    </row>
    <row r="48" spans="1:8" hidden="1" x14ac:dyDescent="0.25">
      <c r="A48" s="145" t="s">
        <v>1443</v>
      </c>
      <c r="B48" s="145" t="s">
        <v>1460</v>
      </c>
      <c r="C48" s="145" t="s">
        <v>1445</v>
      </c>
      <c r="D48" s="145" t="s">
        <v>1450</v>
      </c>
      <c r="E48" s="149">
        <v>40754</v>
      </c>
      <c r="F48" s="146">
        <v>5</v>
      </c>
      <c r="G48" s="146">
        <v>3135</v>
      </c>
      <c r="H48" s="152"/>
    </row>
    <row r="49" spans="1:8" hidden="1" x14ac:dyDescent="0.25">
      <c r="A49" s="145" t="s">
        <v>1440</v>
      </c>
      <c r="B49" s="145" t="s">
        <v>1460</v>
      </c>
      <c r="C49" s="145" t="s">
        <v>1436</v>
      </c>
      <c r="D49" s="145" t="s">
        <v>1450</v>
      </c>
      <c r="E49" s="149">
        <v>40653</v>
      </c>
      <c r="F49" s="146">
        <v>5</v>
      </c>
      <c r="G49" s="146">
        <v>3400</v>
      </c>
      <c r="H49" s="152"/>
    </row>
    <row r="50" spans="1:8" hidden="1" x14ac:dyDescent="0.25">
      <c r="A50" s="145" t="s">
        <v>1440</v>
      </c>
      <c r="B50" s="145" t="s">
        <v>1460</v>
      </c>
      <c r="C50" s="145" t="s">
        <v>1445</v>
      </c>
      <c r="D50" s="145" t="s">
        <v>1435</v>
      </c>
      <c r="E50" s="149">
        <v>40191</v>
      </c>
      <c r="F50" s="146">
        <v>6</v>
      </c>
      <c r="G50" s="146">
        <v>5346</v>
      </c>
      <c r="H50" s="152"/>
    </row>
    <row r="51" spans="1:8" hidden="1" x14ac:dyDescent="0.25">
      <c r="A51" s="145" t="s">
        <v>1448</v>
      </c>
      <c r="B51" s="145" t="s">
        <v>1460</v>
      </c>
      <c r="C51" s="145" t="s">
        <v>1436</v>
      </c>
      <c r="D51" s="145" t="s">
        <v>1435</v>
      </c>
      <c r="E51" s="149">
        <v>40448</v>
      </c>
      <c r="F51" s="146">
        <v>6</v>
      </c>
      <c r="G51" s="146">
        <v>3738</v>
      </c>
      <c r="H51" s="152"/>
    </row>
    <row r="52" spans="1:8" hidden="1" x14ac:dyDescent="0.25">
      <c r="A52" s="145" t="s">
        <v>1448</v>
      </c>
      <c r="B52" s="145" t="s">
        <v>1460</v>
      </c>
      <c r="C52" s="145" t="s">
        <v>1436</v>
      </c>
      <c r="D52" s="145" t="s">
        <v>1435</v>
      </c>
      <c r="E52" s="149">
        <v>40556</v>
      </c>
      <c r="F52" s="146">
        <v>6</v>
      </c>
      <c r="G52" s="146">
        <v>4434</v>
      </c>
      <c r="H52" s="152"/>
    </row>
    <row r="53" spans="1:8" hidden="1" x14ac:dyDescent="0.25">
      <c r="A53" s="145" t="s">
        <v>1442</v>
      </c>
      <c r="B53" s="145" t="s">
        <v>1460</v>
      </c>
      <c r="C53" s="145" t="s">
        <v>1441</v>
      </c>
      <c r="D53" s="145" t="s">
        <v>1453</v>
      </c>
      <c r="E53" s="149">
        <v>40306</v>
      </c>
      <c r="F53" s="146">
        <v>6</v>
      </c>
      <c r="G53" s="146">
        <v>3192</v>
      </c>
      <c r="H53" s="152"/>
    </row>
    <row r="54" spans="1:8" hidden="1" x14ac:dyDescent="0.25">
      <c r="A54" s="145" t="s">
        <v>1449</v>
      </c>
      <c r="B54" s="145" t="s">
        <v>1460</v>
      </c>
      <c r="C54" s="145" t="s">
        <v>1441</v>
      </c>
      <c r="D54" s="145" t="s">
        <v>1453</v>
      </c>
      <c r="E54" s="149">
        <v>40870</v>
      </c>
      <c r="F54" s="146">
        <v>6</v>
      </c>
      <c r="G54" s="146">
        <v>4824</v>
      </c>
      <c r="H54" s="152"/>
    </row>
    <row r="55" spans="1:8" hidden="1" x14ac:dyDescent="0.25">
      <c r="A55" s="145" t="s">
        <v>1442</v>
      </c>
      <c r="B55" s="145" t="s">
        <v>1460</v>
      </c>
      <c r="C55" s="145" t="s">
        <v>1436</v>
      </c>
      <c r="D55" s="145" t="s">
        <v>1453</v>
      </c>
      <c r="E55" s="149">
        <v>40578</v>
      </c>
      <c r="F55" s="146">
        <v>6</v>
      </c>
      <c r="G55" s="146">
        <v>4992</v>
      </c>
      <c r="H55" s="152"/>
    </row>
    <row r="56" spans="1:8" hidden="1" x14ac:dyDescent="0.25">
      <c r="A56" s="145" t="s">
        <v>1440</v>
      </c>
      <c r="B56" s="145" t="s">
        <v>1460</v>
      </c>
      <c r="C56" s="145" t="s">
        <v>1441</v>
      </c>
      <c r="D56" s="145" t="s">
        <v>1452</v>
      </c>
      <c r="E56" s="149">
        <v>40532</v>
      </c>
      <c r="F56" s="146">
        <v>6</v>
      </c>
      <c r="G56" s="146">
        <v>3150</v>
      </c>
      <c r="H56" s="152"/>
    </row>
    <row r="57" spans="1:8" hidden="1" x14ac:dyDescent="0.25">
      <c r="A57" s="145" t="s">
        <v>1447</v>
      </c>
      <c r="B57" s="145" t="s">
        <v>1460</v>
      </c>
      <c r="C57" s="145" t="s">
        <v>1445</v>
      </c>
      <c r="D57" s="145" t="s">
        <v>1450</v>
      </c>
      <c r="E57" s="149">
        <v>40303</v>
      </c>
      <c r="F57" s="146">
        <v>6</v>
      </c>
      <c r="G57" s="146">
        <v>4134</v>
      </c>
      <c r="H57" s="152"/>
    </row>
    <row r="58" spans="1:8" hidden="1" x14ac:dyDescent="0.25">
      <c r="A58" s="145" t="s">
        <v>1443</v>
      </c>
      <c r="B58" s="145" t="s">
        <v>1460</v>
      </c>
      <c r="C58" s="145" t="s">
        <v>1441</v>
      </c>
      <c r="D58" s="145" t="s">
        <v>1450</v>
      </c>
      <c r="E58" s="149">
        <v>40347</v>
      </c>
      <c r="F58" s="146">
        <v>6</v>
      </c>
      <c r="G58" s="146">
        <v>4002</v>
      </c>
      <c r="H58" s="152"/>
    </row>
    <row r="59" spans="1:8" hidden="1" x14ac:dyDescent="0.25">
      <c r="A59" s="145" t="s">
        <v>1449</v>
      </c>
      <c r="B59" s="145" t="s">
        <v>1460</v>
      </c>
      <c r="C59" s="145" t="s">
        <v>1441</v>
      </c>
      <c r="D59" s="145" t="s">
        <v>1455</v>
      </c>
      <c r="E59" s="149">
        <v>40523</v>
      </c>
      <c r="F59" s="146">
        <v>7</v>
      </c>
      <c r="G59" s="146">
        <v>5362</v>
      </c>
      <c r="H59" s="152"/>
    </row>
    <row r="60" spans="1:8" hidden="1" x14ac:dyDescent="0.25">
      <c r="A60" s="145" t="s">
        <v>1456</v>
      </c>
      <c r="B60" s="145" t="s">
        <v>1460</v>
      </c>
      <c r="C60" s="145" t="s">
        <v>1441</v>
      </c>
      <c r="D60" s="145" t="s">
        <v>1455</v>
      </c>
      <c r="E60" s="149">
        <v>40848</v>
      </c>
      <c r="F60" s="146">
        <v>7</v>
      </c>
      <c r="G60" s="146">
        <v>5383</v>
      </c>
      <c r="H60" s="152"/>
    </row>
    <row r="61" spans="1:8" hidden="1" x14ac:dyDescent="0.25">
      <c r="A61" s="145" t="s">
        <v>1454</v>
      </c>
      <c r="B61" s="145" t="s">
        <v>1460</v>
      </c>
      <c r="C61" s="145" t="s">
        <v>1436</v>
      </c>
      <c r="D61" s="145" t="s">
        <v>1455</v>
      </c>
      <c r="E61" s="149">
        <v>40550</v>
      </c>
      <c r="F61" s="146">
        <v>7</v>
      </c>
      <c r="G61" s="146">
        <v>2905</v>
      </c>
      <c r="H61" s="152"/>
    </row>
    <row r="62" spans="1:8" hidden="1" x14ac:dyDescent="0.25">
      <c r="A62" s="145" t="s">
        <v>1451</v>
      </c>
      <c r="B62" s="145" t="s">
        <v>1460</v>
      </c>
      <c r="C62" s="145" t="s">
        <v>1436</v>
      </c>
      <c r="D62" s="145" t="s">
        <v>1455</v>
      </c>
      <c r="E62" s="149">
        <v>40857</v>
      </c>
      <c r="F62" s="146">
        <v>7</v>
      </c>
      <c r="G62" s="146">
        <v>5635</v>
      </c>
      <c r="H62" s="152"/>
    </row>
    <row r="63" spans="1:8" hidden="1" x14ac:dyDescent="0.25">
      <c r="A63" s="145" t="s">
        <v>1451</v>
      </c>
      <c r="B63" s="145" t="s">
        <v>1460</v>
      </c>
      <c r="C63" s="145" t="s">
        <v>1441</v>
      </c>
      <c r="D63" s="145" t="s">
        <v>1435</v>
      </c>
      <c r="E63" s="149">
        <v>40628</v>
      </c>
      <c r="F63" s="146">
        <v>7</v>
      </c>
      <c r="G63" s="146">
        <v>3255</v>
      </c>
      <c r="H63" s="152"/>
    </row>
    <row r="64" spans="1:8" hidden="1" x14ac:dyDescent="0.25">
      <c r="A64" s="145" t="s">
        <v>1438</v>
      </c>
      <c r="B64" s="145" t="s">
        <v>1460</v>
      </c>
      <c r="C64" s="145" t="s">
        <v>1441</v>
      </c>
      <c r="D64" s="145" t="s">
        <v>1435</v>
      </c>
      <c r="E64" s="149">
        <v>40684</v>
      </c>
      <c r="F64" s="146">
        <v>7</v>
      </c>
      <c r="G64" s="146">
        <v>4571</v>
      </c>
      <c r="H64" s="152"/>
    </row>
    <row r="65" spans="1:8" hidden="1" x14ac:dyDescent="0.25">
      <c r="A65" s="145" t="s">
        <v>1448</v>
      </c>
      <c r="B65" s="145" t="s">
        <v>1460</v>
      </c>
      <c r="C65" s="145" t="s">
        <v>1439</v>
      </c>
      <c r="D65" s="145" t="s">
        <v>1435</v>
      </c>
      <c r="E65" s="149">
        <v>40281</v>
      </c>
      <c r="F65" s="146">
        <v>7</v>
      </c>
      <c r="G65" s="146">
        <v>5922</v>
      </c>
      <c r="H65" s="152"/>
    </row>
    <row r="66" spans="1:8" hidden="1" x14ac:dyDescent="0.25">
      <c r="A66" s="145" t="s">
        <v>1449</v>
      </c>
      <c r="B66" s="145" t="s">
        <v>1460</v>
      </c>
      <c r="C66" s="145" t="s">
        <v>1441</v>
      </c>
      <c r="D66" s="145" t="s">
        <v>1452</v>
      </c>
      <c r="E66" s="149">
        <v>40267</v>
      </c>
      <c r="F66" s="146">
        <v>7</v>
      </c>
      <c r="G66" s="146">
        <v>5866</v>
      </c>
      <c r="H66" s="152"/>
    </row>
    <row r="67" spans="1:8" hidden="1" x14ac:dyDescent="0.25">
      <c r="A67" s="145" t="s">
        <v>1448</v>
      </c>
      <c r="B67" s="145" t="s">
        <v>1460</v>
      </c>
      <c r="C67" s="145" t="s">
        <v>1441</v>
      </c>
      <c r="D67" s="145" t="s">
        <v>1452</v>
      </c>
      <c r="E67" s="149">
        <v>40732</v>
      </c>
      <c r="F67" s="146">
        <v>7</v>
      </c>
      <c r="G67" s="146">
        <v>5040</v>
      </c>
      <c r="H67" s="152"/>
    </row>
    <row r="68" spans="1:8" hidden="1" x14ac:dyDescent="0.25">
      <c r="A68" s="145" t="s">
        <v>1449</v>
      </c>
      <c r="B68" s="145" t="s">
        <v>1460</v>
      </c>
      <c r="C68" s="145" t="s">
        <v>1439</v>
      </c>
      <c r="D68" s="145" t="s">
        <v>1452</v>
      </c>
      <c r="E68" s="149">
        <v>40754</v>
      </c>
      <c r="F68" s="146">
        <v>7</v>
      </c>
      <c r="G68" s="146">
        <v>4270</v>
      </c>
      <c r="H68" s="152"/>
    </row>
    <row r="69" spans="1:8" hidden="1" x14ac:dyDescent="0.25">
      <c r="A69" s="145" t="s">
        <v>1449</v>
      </c>
      <c r="B69" s="145" t="s">
        <v>1460</v>
      </c>
      <c r="C69" s="145" t="s">
        <v>1436</v>
      </c>
      <c r="D69" s="145" t="s">
        <v>1452</v>
      </c>
      <c r="E69" s="149">
        <v>40205</v>
      </c>
      <c r="F69" s="146">
        <v>7</v>
      </c>
      <c r="G69" s="150">
        <v>6083</v>
      </c>
      <c r="H69" s="152"/>
    </row>
    <row r="70" spans="1:8" hidden="1" x14ac:dyDescent="0.25">
      <c r="A70" s="145" t="s">
        <v>1438</v>
      </c>
      <c r="B70" s="145" t="s">
        <v>1460</v>
      </c>
      <c r="C70" s="145" t="s">
        <v>1436</v>
      </c>
      <c r="D70" s="145" t="s">
        <v>1452</v>
      </c>
      <c r="E70" s="149">
        <v>40207</v>
      </c>
      <c r="F70" s="146">
        <v>7</v>
      </c>
      <c r="G70" s="150">
        <v>4984</v>
      </c>
      <c r="H70" s="152"/>
    </row>
    <row r="71" spans="1:8" hidden="1" x14ac:dyDescent="0.25">
      <c r="A71" s="145" t="s">
        <v>1454</v>
      </c>
      <c r="B71" s="145" t="s">
        <v>1460</v>
      </c>
      <c r="C71" s="145" t="s">
        <v>1441</v>
      </c>
      <c r="D71" s="145" t="s">
        <v>1450</v>
      </c>
      <c r="E71" s="149">
        <v>40484</v>
      </c>
      <c r="F71" s="146">
        <v>7</v>
      </c>
      <c r="G71" s="146">
        <v>3388</v>
      </c>
      <c r="H71" s="152"/>
    </row>
    <row r="72" spans="1:8" hidden="1" x14ac:dyDescent="0.25">
      <c r="A72" s="145" t="s">
        <v>1443</v>
      </c>
      <c r="B72" s="145" t="s">
        <v>1460</v>
      </c>
      <c r="C72" s="145" t="s">
        <v>1436</v>
      </c>
      <c r="D72" s="145" t="s">
        <v>1450</v>
      </c>
      <c r="E72" s="149">
        <v>40551</v>
      </c>
      <c r="F72" s="146">
        <v>7</v>
      </c>
      <c r="G72" s="146">
        <v>4984</v>
      </c>
      <c r="H72" s="152"/>
    </row>
    <row r="73" spans="1:8" hidden="1" x14ac:dyDescent="0.25">
      <c r="A73" s="145" t="s">
        <v>1448</v>
      </c>
      <c r="B73" s="145" t="s">
        <v>1460</v>
      </c>
      <c r="C73" s="145" t="s">
        <v>1445</v>
      </c>
      <c r="D73" s="145" t="s">
        <v>1455</v>
      </c>
      <c r="E73" s="149">
        <v>40550</v>
      </c>
      <c r="F73" s="146">
        <v>8</v>
      </c>
      <c r="G73" s="146">
        <v>4448</v>
      </c>
      <c r="H73" s="152"/>
    </row>
    <row r="74" spans="1:8" hidden="1" x14ac:dyDescent="0.25">
      <c r="A74" s="145" t="s">
        <v>1443</v>
      </c>
      <c r="B74" s="145" t="s">
        <v>1460</v>
      </c>
      <c r="C74" s="145" t="s">
        <v>1441</v>
      </c>
      <c r="D74" s="145" t="s">
        <v>1455</v>
      </c>
      <c r="E74" s="149">
        <v>40246</v>
      </c>
      <c r="F74" s="146">
        <v>8</v>
      </c>
      <c r="G74" s="150">
        <v>5808</v>
      </c>
      <c r="H74" s="152"/>
    </row>
    <row r="75" spans="1:8" hidden="1" x14ac:dyDescent="0.25">
      <c r="A75" s="145" t="s">
        <v>1451</v>
      </c>
      <c r="B75" s="145" t="s">
        <v>1460</v>
      </c>
      <c r="C75" s="145" t="s">
        <v>1439</v>
      </c>
      <c r="D75" s="145" t="s">
        <v>1455</v>
      </c>
      <c r="E75" s="149">
        <v>40659</v>
      </c>
      <c r="F75" s="146">
        <v>8</v>
      </c>
      <c r="G75" s="146">
        <v>4016</v>
      </c>
      <c r="H75" s="152"/>
    </row>
    <row r="76" spans="1:8" hidden="1" x14ac:dyDescent="0.25">
      <c r="A76" s="145" t="s">
        <v>1440</v>
      </c>
      <c r="B76" s="145" t="s">
        <v>1460</v>
      </c>
      <c r="C76" s="145" t="s">
        <v>1436</v>
      </c>
      <c r="D76" s="145" t="s">
        <v>1455</v>
      </c>
      <c r="E76" s="149">
        <v>40394</v>
      </c>
      <c r="F76" s="146">
        <v>8</v>
      </c>
      <c r="G76" s="146">
        <v>6520</v>
      </c>
      <c r="H76" s="152"/>
    </row>
    <row r="77" spans="1:8" hidden="1" x14ac:dyDescent="0.25">
      <c r="A77" s="145" t="s">
        <v>1442</v>
      </c>
      <c r="B77" s="145" t="s">
        <v>1460</v>
      </c>
      <c r="C77" s="145" t="s">
        <v>1445</v>
      </c>
      <c r="D77" s="145" t="s">
        <v>1435</v>
      </c>
      <c r="E77" s="149">
        <v>40614</v>
      </c>
      <c r="F77" s="146">
        <v>8</v>
      </c>
      <c r="G77" s="146">
        <v>4128</v>
      </c>
      <c r="H77" s="152"/>
    </row>
    <row r="78" spans="1:8" hidden="1" x14ac:dyDescent="0.25">
      <c r="A78" s="145" t="s">
        <v>1442</v>
      </c>
      <c r="B78" s="145" t="s">
        <v>1460</v>
      </c>
      <c r="C78" s="145" t="s">
        <v>1445</v>
      </c>
      <c r="D78" s="145" t="s">
        <v>1435</v>
      </c>
      <c r="E78" s="149">
        <v>40691</v>
      </c>
      <c r="F78" s="146">
        <v>8</v>
      </c>
      <c r="G78" s="146">
        <v>5640</v>
      </c>
      <c r="H78" s="152"/>
    </row>
    <row r="79" spans="1:8" hidden="1" x14ac:dyDescent="0.25">
      <c r="A79" s="145" t="s">
        <v>1438</v>
      </c>
      <c r="B79" s="145" t="s">
        <v>1460</v>
      </c>
      <c r="C79" s="145" t="s">
        <v>1441</v>
      </c>
      <c r="D79" s="145" t="s">
        <v>1435</v>
      </c>
      <c r="E79" s="149">
        <v>40847</v>
      </c>
      <c r="F79" s="146">
        <v>8</v>
      </c>
      <c r="G79" s="146">
        <v>3664</v>
      </c>
      <c r="H79" s="152"/>
    </row>
    <row r="80" spans="1:8" hidden="1" x14ac:dyDescent="0.25">
      <c r="A80" s="145" t="s">
        <v>1438</v>
      </c>
      <c r="B80" s="145" t="s">
        <v>1460</v>
      </c>
      <c r="C80" s="145" t="s">
        <v>1445</v>
      </c>
      <c r="D80" s="145" t="s">
        <v>1453</v>
      </c>
      <c r="E80" s="149">
        <v>40247</v>
      </c>
      <c r="F80" s="146">
        <v>8</v>
      </c>
      <c r="G80" s="150">
        <v>5512</v>
      </c>
      <c r="H80" s="152"/>
    </row>
    <row r="81" spans="1:8" hidden="1" x14ac:dyDescent="0.25">
      <c r="A81" s="145" t="s">
        <v>1443</v>
      </c>
      <c r="B81" s="145" t="s">
        <v>1460</v>
      </c>
      <c r="C81" s="145" t="s">
        <v>1445</v>
      </c>
      <c r="D81" s="145" t="s">
        <v>1452</v>
      </c>
      <c r="E81" s="149">
        <v>40287</v>
      </c>
      <c r="F81" s="146">
        <v>8</v>
      </c>
      <c r="G81" s="146">
        <v>4600</v>
      </c>
      <c r="H81" s="152"/>
    </row>
    <row r="82" spans="1:8" hidden="1" x14ac:dyDescent="0.25">
      <c r="A82" s="145" t="s">
        <v>1443</v>
      </c>
      <c r="B82" s="145" t="s">
        <v>1460</v>
      </c>
      <c r="C82" s="145" t="s">
        <v>1445</v>
      </c>
      <c r="D82" s="145" t="s">
        <v>1452</v>
      </c>
      <c r="E82" s="149">
        <v>40435</v>
      </c>
      <c r="F82" s="146">
        <v>8</v>
      </c>
      <c r="G82" s="146">
        <v>5880</v>
      </c>
      <c r="H82" s="152"/>
    </row>
    <row r="83" spans="1:8" hidden="1" x14ac:dyDescent="0.25">
      <c r="A83" s="145" t="s">
        <v>1438</v>
      </c>
      <c r="B83" s="145" t="s">
        <v>1460</v>
      </c>
      <c r="C83" s="145" t="s">
        <v>1441</v>
      </c>
      <c r="D83" s="145" t="s">
        <v>1452</v>
      </c>
      <c r="E83" s="149">
        <v>40260</v>
      </c>
      <c r="F83" s="146">
        <v>8</v>
      </c>
      <c r="G83" s="146">
        <v>5616</v>
      </c>
      <c r="H83" s="152"/>
    </row>
    <row r="84" spans="1:8" hidden="1" x14ac:dyDescent="0.25">
      <c r="A84" s="145" t="s">
        <v>1438</v>
      </c>
      <c r="B84" s="145" t="s">
        <v>1460</v>
      </c>
      <c r="C84" s="145" t="s">
        <v>1441</v>
      </c>
      <c r="D84" s="145" t="s">
        <v>1450</v>
      </c>
      <c r="E84" s="149">
        <v>40716</v>
      </c>
      <c r="F84" s="146">
        <v>8</v>
      </c>
      <c r="G84" s="146">
        <v>3872</v>
      </c>
      <c r="H84" s="152"/>
    </row>
    <row r="85" spans="1:8" hidden="1" x14ac:dyDescent="0.25">
      <c r="A85" s="145" t="s">
        <v>1438</v>
      </c>
      <c r="B85" s="145" t="s">
        <v>1460</v>
      </c>
      <c r="C85" s="145" t="s">
        <v>1439</v>
      </c>
      <c r="D85" s="145" t="s">
        <v>1450</v>
      </c>
      <c r="E85" s="149">
        <v>40294</v>
      </c>
      <c r="F85" s="146">
        <v>8</v>
      </c>
      <c r="G85" s="146">
        <v>5976</v>
      </c>
      <c r="H85" s="152"/>
    </row>
    <row r="86" spans="1:8" hidden="1" x14ac:dyDescent="0.25">
      <c r="A86" s="145" t="s">
        <v>1438</v>
      </c>
      <c r="B86" s="145" t="s">
        <v>1460</v>
      </c>
      <c r="C86" s="145" t="s">
        <v>1445</v>
      </c>
      <c r="D86" s="145" t="s">
        <v>1455</v>
      </c>
      <c r="E86" s="149">
        <v>40234</v>
      </c>
      <c r="F86" s="146">
        <v>9</v>
      </c>
      <c r="G86" s="150">
        <v>5814</v>
      </c>
      <c r="H86" s="152"/>
    </row>
    <row r="87" spans="1:8" hidden="1" x14ac:dyDescent="0.25">
      <c r="A87" s="145" t="s">
        <v>1438</v>
      </c>
      <c r="B87" s="145" t="s">
        <v>1460</v>
      </c>
      <c r="C87" s="145" t="s">
        <v>1441</v>
      </c>
      <c r="D87" s="145" t="s">
        <v>1455</v>
      </c>
      <c r="E87" s="149">
        <v>40478</v>
      </c>
      <c r="F87" s="146">
        <v>9</v>
      </c>
      <c r="G87" s="146">
        <v>4194</v>
      </c>
      <c r="H87" s="152"/>
    </row>
    <row r="88" spans="1:8" hidden="1" x14ac:dyDescent="0.25">
      <c r="A88" s="145" t="s">
        <v>1448</v>
      </c>
      <c r="B88" s="145" t="s">
        <v>1460</v>
      </c>
      <c r="C88" s="145" t="s">
        <v>1439</v>
      </c>
      <c r="D88" s="145" t="s">
        <v>1455</v>
      </c>
      <c r="E88" s="149">
        <v>40308</v>
      </c>
      <c r="F88" s="146">
        <v>9</v>
      </c>
      <c r="G88" s="146">
        <v>5274</v>
      </c>
      <c r="H88" s="152"/>
    </row>
    <row r="89" spans="1:8" hidden="1" x14ac:dyDescent="0.25">
      <c r="A89" s="145" t="s">
        <v>1447</v>
      </c>
      <c r="B89" s="145" t="s">
        <v>1460</v>
      </c>
      <c r="C89" s="145" t="s">
        <v>1436</v>
      </c>
      <c r="D89" s="145" t="s">
        <v>1455</v>
      </c>
      <c r="E89" s="149">
        <v>40225</v>
      </c>
      <c r="F89" s="146">
        <v>9</v>
      </c>
      <c r="G89" s="150">
        <v>4788</v>
      </c>
      <c r="H89" s="152"/>
    </row>
    <row r="90" spans="1:8" hidden="1" x14ac:dyDescent="0.25">
      <c r="A90" s="145" t="s">
        <v>1442</v>
      </c>
      <c r="B90" s="145" t="s">
        <v>1460</v>
      </c>
      <c r="C90" s="145" t="s">
        <v>1436</v>
      </c>
      <c r="D90" s="145" t="s">
        <v>1455</v>
      </c>
      <c r="E90" s="149">
        <v>40816</v>
      </c>
      <c r="F90" s="146">
        <v>9</v>
      </c>
      <c r="G90" s="146">
        <v>7920</v>
      </c>
      <c r="H90" s="152"/>
    </row>
    <row r="91" spans="1:8" hidden="1" x14ac:dyDescent="0.25">
      <c r="A91" s="145" t="s">
        <v>1443</v>
      </c>
      <c r="B91" s="145" t="s">
        <v>1460</v>
      </c>
      <c r="C91" s="145" t="s">
        <v>1436</v>
      </c>
      <c r="D91" s="145" t="s">
        <v>1435</v>
      </c>
      <c r="E91" s="149">
        <v>40613</v>
      </c>
      <c r="F91" s="146">
        <v>9</v>
      </c>
      <c r="G91" s="146">
        <v>4644</v>
      </c>
      <c r="H91" s="152"/>
    </row>
    <row r="92" spans="1:8" hidden="1" x14ac:dyDescent="0.25">
      <c r="A92" s="145" t="s">
        <v>1449</v>
      </c>
      <c r="B92" s="145" t="s">
        <v>1460</v>
      </c>
      <c r="C92" s="145" t="s">
        <v>1436</v>
      </c>
      <c r="D92" s="145" t="s">
        <v>1435</v>
      </c>
      <c r="E92" s="149">
        <v>40897</v>
      </c>
      <c r="F92" s="146">
        <v>9</v>
      </c>
      <c r="G92" s="146">
        <v>3987</v>
      </c>
      <c r="H92" s="152"/>
    </row>
    <row r="93" spans="1:8" hidden="1" x14ac:dyDescent="0.25">
      <c r="A93" s="145" t="s">
        <v>1442</v>
      </c>
      <c r="B93" s="145" t="s">
        <v>1460</v>
      </c>
      <c r="C93" s="145" t="s">
        <v>1439</v>
      </c>
      <c r="D93" s="145" t="s">
        <v>1453</v>
      </c>
      <c r="E93" s="149">
        <v>40403</v>
      </c>
      <c r="F93" s="146">
        <v>9</v>
      </c>
      <c r="G93" s="146">
        <v>3744</v>
      </c>
      <c r="H93" s="152"/>
    </row>
    <row r="94" spans="1:8" hidden="1" x14ac:dyDescent="0.25">
      <c r="A94" s="145" t="s">
        <v>1444</v>
      </c>
      <c r="B94" s="145" t="s">
        <v>1460</v>
      </c>
      <c r="C94" s="145" t="s">
        <v>1436</v>
      </c>
      <c r="D94" s="145" t="s">
        <v>1453</v>
      </c>
      <c r="E94" s="149">
        <v>40255</v>
      </c>
      <c r="F94" s="146">
        <v>9</v>
      </c>
      <c r="G94" s="146">
        <v>4662</v>
      </c>
      <c r="H94" s="152"/>
    </row>
    <row r="95" spans="1:8" hidden="1" x14ac:dyDescent="0.25">
      <c r="A95" s="145" t="s">
        <v>1444</v>
      </c>
      <c r="B95" s="145" t="s">
        <v>1460</v>
      </c>
      <c r="C95" s="145" t="s">
        <v>1445</v>
      </c>
      <c r="D95" s="145" t="s">
        <v>1450</v>
      </c>
      <c r="E95" s="149">
        <v>40385</v>
      </c>
      <c r="F95" s="146">
        <v>9</v>
      </c>
      <c r="G95" s="146">
        <v>5391</v>
      </c>
      <c r="H95" s="152"/>
    </row>
    <row r="96" spans="1:8" hidden="1" x14ac:dyDescent="0.25">
      <c r="A96" s="145" t="s">
        <v>1451</v>
      </c>
      <c r="B96" s="145" t="s">
        <v>1460</v>
      </c>
      <c r="C96" s="145" t="s">
        <v>1441</v>
      </c>
      <c r="D96" s="145" t="s">
        <v>1450</v>
      </c>
      <c r="E96" s="149">
        <v>40661</v>
      </c>
      <c r="F96" s="146">
        <v>9</v>
      </c>
      <c r="G96" s="146">
        <v>5940</v>
      </c>
      <c r="H96" s="152"/>
    </row>
    <row r="97" spans="1:8" hidden="1" x14ac:dyDescent="0.25">
      <c r="A97" s="145" t="s">
        <v>1440</v>
      </c>
      <c r="B97" s="145" t="s">
        <v>1460</v>
      </c>
      <c r="C97" s="145" t="s">
        <v>1436</v>
      </c>
      <c r="D97" s="145" t="s">
        <v>1450</v>
      </c>
      <c r="E97" s="149">
        <v>40351</v>
      </c>
      <c r="F97" s="146">
        <v>9</v>
      </c>
      <c r="G97" s="146">
        <v>3690</v>
      </c>
      <c r="H97" s="152"/>
    </row>
    <row r="98" spans="1:8" hidden="1" x14ac:dyDescent="0.25">
      <c r="A98" s="145" t="s">
        <v>1438</v>
      </c>
      <c r="B98" s="145" t="s">
        <v>1460</v>
      </c>
      <c r="C98" s="145" t="s">
        <v>1436</v>
      </c>
      <c r="D98" s="145" t="s">
        <v>1450</v>
      </c>
      <c r="E98" s="149">
        <v>40646</v>
      </c>
      <c r="F98" s="146">
        <v>9</v>
      </c>
      <c r="G98" s="146">
        <v>5526</v>
      </c>
      <c r="H98" s="152"/>
    </row>
    <row r="99" spans="1:8" hidden="1" x14ac:dyDescent="0.25">
      <c r="A99" s="145" t="s">
        <v>1442</v>
      </c>
      <c r="B99" s="145" t="s">
        <v>1460</v>
      </c>
      <c r="C99" s="145" t="s">
        <v>1436</v>
      </c>
      <c r="D99" s="145" t="s">
        <v>1450</v>
      </c>
      <c r="E99" s="149">
        <v>40801</v>
      </c>
      <c r="F99" s="146">
        <v>9</v>
      </c>
      <c r="G99" s="146">
        <v>4059</v>
      </c>
      <c r="H99" s="152"/>
    </row>
    <row r="100" spans="1:8" hidden="1" x14ac:dyDescent="0.25">
      <c r="A100" s="145" t="s">
        <v>1449</v>
      </c>
      <c r="B100" s="145" t="s">
        <v>1460</v>
      </c>
      <c r="C100" s="145" t="s">
        <v>1445</v>
      </c>
      <c r="D100" s="145" t="s">
        <v>1455</v>
      </c>
      <c r="E100" s="149">
        <v>40205</v>
      </c>
      <c r="F100" s="146">
        <v>10</v>
      </c>
      <c r="G100" s="150">
        <v>6720</v>
      </c>
      <c r="H100" s="152"/>
    </row>
    <row r="101" spans="1:8" hidden="1" x14ac:dyDescent="0.25">
      <c r="A101" s="145" t="s">
        <v>1438</v>
      </c>
      <c r="B101" s="145" t="s">
        <v>1460</v>
      </c>
      <c r="C101" s="145" t="s">
        <v>1441</v>
      </c>
      <c r="D101" s="145" t="s">
        <v>1455</v>
      </c>
      <c r="E101" s="149">
        <v>40439</v>
      </c>
      <c r="F101" s="146">
        <v>10</v>
      </c>
      <c r="G101" s="146">
        <v>8470</v>
      </c>
      <c r="H101" s="152"/>
    </row>
    <row r="102" spans="1:8" hidden="1" x14ac:dyDescent="0.25">
      <c r="A102" s="145" t="s">
        <v>1449</v>
      </c>
      <c r="B102" s="145" t="s">
        <v>1460</v>
      </c>
      <c r="C102" s="145" t="s">
        <v>1441</v>
      </c>
      <c r="D102" s="145" t="s">
        <v>1455</v>
      </c>
      <c r="E102" s="149">
        <v>40868</v>
      </c>
      <c r="F102" s="146">
        <v>10</v>
      </c>
      <c r="G102" s="146">
        <v>8420</v>
      </c>
      <c r="H102" s="152"/>
    </row>
    <row r="103" spans="1:8" hidden="1" x14ac:dyDescent="0.25">
      <c r="A103" s="145" t="s">
        <v>1447</v>
      </c>
      <c r="B103" s="145" t="s">
        <v>1460</v>
      </c>
      <c r="C103" s="145" t="s">
        <v>1439</v>
      </c>
      <c r="D103" s="145" t="s">
        <v>1455</v>
      </c>
      <c r="E103" s="149">
        <v>40480</v>
      </c>
      <c r="F103" s="146">
        <v>10</v>
      </c>
      <c r="G103" s="146">
        <v>6960</v>
      </c>
      <c r="H103" s="152"/>
    </row>
    <row r="104" spans="1:8" hidden="1" x14ac:dyDescent="0.25">
      <c r="A104" s="145" t="s">
        <v>1456</v>
      </c>
      <c r="B104" s="145" t="s">
        <v>1460</v>
      </c>
      <c r="C104" s="145" t="s">
        <v>1445</v>
      </c>
      <c r="D104" s="145" t="s">
        <v>1435</v>
      </c>
      <c r="E104" s="149">
        <v>40723</v>
      </c>
      <c r="F104" s="146">
        <v>10</v>
      </c>
      <c r="G104" s="146">
        <v>6120</v>
      </c>
      <c r="H104" s="152"/>
    </row>
    <row r="105" spans="1:8" hidden="1" x14ac:dyDescent="0.25">
      <c r="A105" s="145" t="s">
        <v>1449</v>
      </c>
      <c r="B105" s="145" t="s">
        <v>1460</v>
      </c>
      <c r="C105" s="145" t="s">
        <v>1445</v>
      </c>
      <c r="D105" s="145" t="s">
        <v>1453</v>
      </c>
      <c r="E105" s="149">
        <v>40869</v>
      </c>
      <c r="F105" s="146">
        <v>10</v>
      </c>
      <c r="G105" s="146">
        <v>5700</v>
      </c>
      <c r="H105" s="152"/>
    </row>
    <row r="106" spans="1:8" hidden="1" x14ac:dyDescent="0.25">
      <c r="A106" s="145" t="s">
        <v>1449</v>
      </c>
      <c r="B106" s="145" t="s">
        <v>1460</v>
      </c>
      <c r="C106" s="145" t="s">
        <v>1441</v>
      </c>
      <c r="D106" s="145" t="s">
        <v>1453</v>
      </c>
      <c r="E106" s="149">
        <v>40322</v>
      </c>
      <c r="F106" s="146">
        <v>10</v>
      </c>
      <c r="G106" s="146">
        <v>5960</v>
      </c>
      <c r="H106" s="152"/>
    </row>
    <row r="107" spans="1:8" hidden="1" x14ac:dyDescent="0.25">
      <c r="A107" s="145" t="s">
        <v>1456</v>
      </c>
      <c r="B107" s="145" t="s">
        <v>1460</v>
      </c>
      <c r="C107" s="145" t="s">
        <v>1441</v>
      </c>
      <c r="D107" s="145" t="s">
        <v>1453</v>
      </c>
      <c r="E107" s="149">
        <v>40694</v>
      </c>
      <c r="F107" s="146">
        <v>10</v>
      </c>
      <c r="G107" s="146">
        <v>5810</v>
      </c>
      <c r="H107" s="152"/>
    </row>
    <row r="108" spans="1:8" hidden="1" x14ac:dyDescent="0.25">
      <c r="A108" s="145" t="s">
        <v>1456</v>
      </c>
      <c r="B108" s="145" t="s">
        <v>1460</v>
      </c>
      <c r="C108" s="145" t="s">
        <v>1441</v>
      </c>
      <c r="D108" s="145" t="s">
        <v>1453</v>
      </c>
      <c r="E108" s="149">
        <v>40778</v>
      </c>
      <c r="F108" s="146">
        <v>10</v>
      </c>
      <c r="G108" s="146">
        <v>6330</v>
      </c>
      <c r="H108" s="152"/>
    </row>
    <row r="109" spans="1:8" hidden="1" x14ac:dyDescent="0.25">
      <c r="A109" s="145" t="s">
        <v>1449</v>
      </c>
      <c r="B109" s="145" t="s">
        <v>1460</v>
      </c>
      <c r="C109" s="145" t="s">
        <v>1439</v>
      </c>
      <c r="D109" s="145" t="s">
        <v>1453</v>
      </c>
      <c r="E109" s="149">
        <v>40658</v>
      </c>
      <c r="F109" s="146">
        <v>10</v>
      </c>
      <c r="G109" s="146">
        <v>6410</v>
      </c>
      <c r="H109" s="152"/>
    </row>
    <row r="110" spans="1:8" hidden="1" x14ac:dyDescent="0.25">
      <c r="A110" s="145" t="s">
        <v>1443</v>
      </c>
      <c r="B110" s="145" t="s">
        <v>1460</v>
      </c>
      <c r="C110" s="145" t="s">
        <v>1436</v>
      </c>
      <c r="D110" s="145" t="s">
        <v>1453</v>
      </c>
      <c r="E110" s="149">
        <v>40340</v>
      </c>
      <c r="F110" s="146">
        <v>10</v>
      </c>
      <c r="G110" s="146">
        <v>8090</v>
      </c>
      <c r="H110" s="152"/>
    </row>
    <row r="111" spans="1:8" hidden="1" x14ac:dyDescent="0.25">
      <c r="A111" s="145" t="s">
        <v>1438</v>
      </c>
      <c r="B111" s="145" t="s">
        <v>1460</v>
      </c>
      <c r="C111" s="145" t="s">
        <v>1445</v>
      </c>
      <c r="D111" s="145" t="s">
        <v>1452</v>
      </c>
      <c r="E111" s="149">
        <v>40435</v>
      </c>
      <c r="F111" s="146">
        <v>10</v>
      </c>
      <c r="G111" s="146">
        <v>8360</v>
      </c>
      <c r="H111" s="152"/>
    </row>
    <row r="112" spans="1:8" hidden="1" x14ac:dyDescent="0.25">
      <c r="A112" s="145" t="s">
        <v>1446</v>
      </c>
      <c r="B112" s="145" t="s">
        <v>1460</v>
      </c>
      <c r="C112" s="145" t="s">
        <v>1441</v>
      </c>
      <c r="D112" s="145" t="s">
        <v>1452</v>
      </c>
      <c r="E112" s="149">
        <v>40562</v>
      </c>
      <c r="F112" s="146">
        <v>10</v>
      </c>
      <c r="G112" s="146">
        <v>6350</v>
      </c>
      <c r="H112" s="152"/>
    </row>
    <row r="113" spans="1:8" hidden="1" x14ac:dyDescent="0.25">
      <c r="A113" s="145" t="s">
        <v>1454</v>
      </c>
      <c r="B113" s="145" t="s">
        <v>1460</v>
      </c>
      <c r="C113" s="145" t="s">
        <v>1439</v>
      </c>
      <c r="D113" s="145" t="s">
        <v>1452</v>
      </c>
      <c r="E113" s="149">
        <v>40309</v>
      </c>
      <c r="F113" s="146">
        <v>10</v>
      </c>
      <c r="G113" s="146">
        <v>6030</v>
      </c>
      <c r="H113" s="152"/>
    </row>
    <row r="114" spans="1:8" hidden="1" x14ac:dyDescent="0.25">
      <c r="A114" s="145" t="s">
        <v>1446</v>
      </c>
      <c r="B114" s="145" t="s">
        <v>1460</v>
      </c>
      <c r="C114" s="145" t="s">
        <v>1439</v>
      </c>
      <c r="D114" s="145" t="s">
        <v>1452</v>
      </c>
      <c r="E114" s="149">
        <v>40749</v>
      </c>
      <c r="F114" s="146">
        <v>10</v>
      </c>
      <c r="G114" s="146">
        <v>7210</v>
      </c>
      <c r="H114" s="152"/>
    </row>
    <row r="115" spans="1:8" hidden="1" x14ac:dyDescent="0.25">
      <c r="A115" s="145" t="s">
        <v>1444</v>
      </c>
      <c r="B115" s="145" t="s">
        <v>1460</v>
      </c>
      <c r="C115" s="145" t="s">
        <v>1436</v>
      </c>
      <c r="D115" s="145" t="s">
        <v>1452</v>
      </c>
      <c r="E115" s="149">
        <v>40432</v>
      </c>
      <c r="F115" s="146">
        <v>10</v>
      </c>
      <c r="G115" s="146">
        <v>4080</v>
      </c>
      <c r="H115" s="152"/>
    </row>
    <row r="116" spans="1:8" hidden="1" x14ac:dyDescent="0.25">
      <c r="A116" s="145" t="s">
        <v>1447</v>
      </c>
      <c r="B116" s="145" t="s">
        <v>1460</v>
      </c>
      <c r="C116" s="145" t="s">
        <v>1439</v>
      </c>
      <c r="D116" s="145" t="s">
        <v>1450</v>
      </c>
      <c r="E116" s="149">
        <v>40624</v>
      </c>
      <c r="F116" s="146">
        <v>10</v>
      </c>
      <c r="G116" s="146">
        <v>6920</v>
      </c>
      <c r="H116" s="152"/>
    </row>
    <row r="117" spans="1:8" hidden="1" x14ac:dyDescent="0.25">
      <c r="A117" s="145" t="s">
        <v>1440</v>
      </c>
      <c r="B117" s="145" t="s">
        <v>1460</v>
      </c>
      <c r="C117" s="145" t="s">
        <v>1436</v>
      </c>
      <c r="D117" s="145" t="s">
        <v>1455</v>
      </c>
      <c r="E117" s="149">
        <v>40250</v>
      </c>
      <c r="F117" s="146">
        <v>11</v>
      </c>
      <c r="G117" s="150">
        <v>9746</v>
      </c>
      <c r="H117" s="152"/>
    </row>
    <row r="118" spans="1:8" hidden="1" x14ac:dyDescent="0.25">
      <c r="A118" s="145" t="s">
        <v>1448</v>
      </c>
      <c r="B118" s="145" t="s">
        <v>1460</v>
      </c>
      <c r="C118" s="145" t="s">
        <v>1436</v>
      </c>
      <c r="D118" s="145" t="s">
        <v>1455</v>
      </c>
      <c r="E118" s="149">
        <v>40360</v>
      </c>
      <c r="F118" s="146">
        <v>11</v>
      </c>
      <c r="G118" s="146">
        <v>6314</v>
      </c>
      <c r="H118" s="152"/>
    </row>
    <row r="119" spans="1:8" hidden="1" x14ac:dyDescent="0.25">
      <c r="A119" s="145" t="s">
        <v>1443</v>
      </c>
      <c r="B119" s="145" t="s">
        <v>1460</v>
      </c>
      <c r="C119" s="145" t="s">
        <v>1445</v>
      </c>
      <c r="D119" s="145" t="s">
        <v>1435</v>
      </c>
      <c r="E119" s="149">
        <v>40704</v>
      </c>
      <c r="F119" s="146">
        <v>11</v>
      </c>
      <c r="G119" s="146">
        <v>4466</v>
      </c>
      <c r="H119" s="152"/>
    </row>
    <row r="120" spans="1:8" hidden="1" x14ac:dyDescent="0.25">
      <c r="A120" s="145" t="s">
        <v>1442</v>
      </c>
      <c r="B120" s="145" t="s">
        <v>1460</v>
      </c>
      <c r="C120" s="145" t="s">
        <v>1445</v>
      </c>
      <c r="D120" s="145" t="s">
        <v>1435</v>
      </c>
      <c r="E120" s="149">
        <v>40833</v>
      </c>
      <c r="F120" s="146">
        <v>11</v>
      </c>
      <c r="G120" s="146">
        <v>8041</v>
      </c>
      <c r="H120" s="152"/>
    </row>
    <row r="121" spans="1:8" hidden="1" x14ac:dyDescent="0.25">
      <c r="A121" s="145" t="s">
        <v>1448</v>
      </c>
      <c r="B121" s="145" t="s">
        <v>1460</v>
      </c>
      <c r="C121" s="145" t="s">
        <v>1441</v>
      </c>
      <c r="D121" s="145" t="s">
        <v>1435</v>
      </c>
      <c r="E121" s="149">
        <v>40660</v>
      </c>
      <c r="F121" s="146">
        <v>11</v>
      </c>
      <c r="G121" s="146">
        <v>4807</v>
      </c>
      <c r="H121" s="152"/>
    </row>
    <row r="122" spans="1:8" hidden="1" x14ac:dyDescent="0.25">
      <c r="A122" s="145" t="s">
        <v>1448</v>
      </c>
      <c r="B122" s="145" t="s">
        <v>1460</v>
      </c>
      <c r="C122" s="145" t="s">
        <v>1439</v>
      </c>
      <c r="D122" s="145" t="s">
        <v>1435</v>
      </c>
      <c r="E122" s="149">
        <v>40530</v>
      </c>
      <c r="F122" s="146">
        <v>11</v>
      </c>
      <c r="G122" s="146">
        <v>8635</v>
      </c>
      <c r="H122" s="152"/>
    </row>
    <row r="123" spans="1:8" hidden="1" x14ac:dyDescent="0.25">
      <c r="A123" s="145" t="s">
        <v>1456</v>
      </c>
      <c r="B123" s="145" t="s">
        <v>1460</v>
      </c>
      <c r="C123" s="145" t="s">
        <v>1445</v>
      </c>
      <c r="D123" s="145" t="s">
        <v>1453</v>
      </c>
      <c r="E123" s="149">
        <v>40582</v>
      </c>
      <c r="F123" s="146">
        <v>11</v>
      </c>
      <c r="G123" s="146">
        <v>8393</v>
      </c>
      <c r="H123" s="152"/>
    </row>
    <row r="124" spans="1:8" hidden="1" x14ac:dyDescent="0.25">
      <c r="A124" s="145" t="s">
        <v>1438</v>
      </c>
      <c r="B124" s="145" t="s">
        <v>1460</v>
      </c>
      <c r="C124" s="145" t="s">
        <v>1439</v>
      </c>
      <c r="D124" s="145" t="s">
        <v>1453</v>
      </c>
      <c r="E124" s="149">
        <v>40217</v>
      </c>
      <c r="F124" s="146">
        <v>11</v>
      </c>
      <c r="G124" s="150">
        <v>6875</v>
      </c>
      <c r="H124" s="152"/>
    </row>
    <row r="125" spans="1:8" hidden="1" x14ac:dyDescent="0.25">
      <c r="A125" s="145" t="s">
        <v>1456</v>
      </c>
      <c r="B125" s="145" t="s">
        <v>1460</v>
      </c>
      <c r="C125" s="145" t="s">
        <v>1439</v>
      </c>
      <c r="D125" s="145" t="s">
        <v>1453</v>
      </c>
      <c r="E125" s="149">
        <v>40814</v>
      </c>
      <c r="F125" s="146">
        <v>11</v>
      </c>
      <c r="G125" s="146">
        <v>5082</v>
      </c>
      <c r="H125" s="152"/>
    </row>
    <row r="126" spans="1:8" hidden="1" x14ac:dyDescent="0.25">
      <c r="A126" s="145" t="s">
        <v>1444</v>
      </c>
      <c r="B126" s="145" t="s">
        <v>1460</v>
      </c>
      <c r="C126" s="145" t="s">
        <v>1445</v>
      </c>
      <c r="D126" s="145" t="s">
        <v>1452</v>
      </c>
      <c r="E126" s="149">
        <v>40438</v>
      </c>
      <c r="F126" s="146">
        <v>11</v>
      </c>
      <c r="G126" s="146">
        <v>9460</v>
      </c>
      <c r="H126" s="152"/>
    </row>
    <row r="127" spans="1:8" hidden="1" x14ac:dyDescent="0.25">
      <c r="A127" s="145" t="s">
        <v>1447</v>
      </c>
      <c r="B127" s="145" t="s">
        <v>1460</v>
      </c>
      <c r="C127" s="145" t="s">
        <v>1441</v>
      </c>
      <c r="D127" s="145" t="s">
        <v>1452</v>
      </c>
      <c r="E127" s="149">
        <v>40568</v>
      </c>
      <c r="F127" s="146">
        <v>11</v>
      </c>
      <c r="G127" s="146">
        <v>6413</v>
      </c>
      <c r="H127" s="152"/>
    </row>
    <row r="128" spans="1:8" hidden="1" x14ac:dyDescent="0.25">
      <c r="A128" s="145" t="s">
        <v>1442</v>
      </c>
      <c r="B128" s="145" t="s">
        <v>1460</v>
      </c>
      <c r="C128" s="145" t="s">
        <v>1439</v>
      </c>
      <c r="D128" s="145" t="s">
        <v>1452</v>
      </c>
      <c r="E128" s="149">
        <v>40347</v>
      </c>
      <c r="F128" s="146">
        <v>11</v>
      </c>
      <c r="G128" s="146">
        <v>6413</v>
      </c>
      <c r="H128" s="152"/>
    </row>
    <row r="129" spans="1:8" hidden="1" x14ac:dyDescent="0.25">
      <c r="A129" s="145" t="s">
        <v>1440</v>
      </c>
      <c r="B129" s="145" t="s">
        <v>1460</v>
      </c>
      <c r="C129" s="145" t="s">
        <v>1441</v>
      </c>
      <c r="D129" s="145" t="s">
        <v>1455</v>
      </c>
      <c r="E129" s="149">
        <v>40712</v>
      </c>
      <c r="F129" s="146">
        <v>12</v>
      </c>
      <c r="G129" s="146">
        <v>7788</v>
      </c>
      <c r="H129" s="152"/>
    </row>
    <row r="130" spans="1:8" hidden="1" x14ac:dyDescent="0.25">
      <c r="A130" s="145" t="s">
        <v>1456</v>
      </c>
      <c r="B130" s="145" t="s">
        <v>1460</v>
      </c>
      <c r="C130" s="145" t="s">
        <v>1441</v>
      </c>
      <c r="D130" s="145" t="s">
        <v>1435</v>
      </c>
      <c r="E130" s="149">
        <v>40513</v>
      </c>
      <c r="F130" s="146">
        <v>12</v>
      </c>
      <c r="G130" s="146">
        <v>7968</v>
      </c>
      <c r="H130" s="152"/>
    </row>
    <row r="131" spans="1:8" hidden="1" x14ac:dyDescent="0.25">
      <c r="A131" s="145" t="s">
        <v>1438</v>
      </c>
      <c r="B131" s="145" t="s">
        <v>1460</v>
      </c>
      <c r="C131" s="145" t="s">
        <v>1436</v>
      </c>
      <c r="D131" s="145" t="s">
        <v>1435</v>
      </c>
      <c r="E131" s="149">
        <v>40632</v>
      </c>
      <c r="F131" s="146">
        <v>12</v>
      </c>
      <c r="G131" s="146">
        <v>6888</v>
      </c>
      <c r="H131" s="152"/>
    </row>
    <row r="132" spans="1:8" hidden="1" x14ac:dyDescent="0.25">
      <c r="A132" s="145" t="s">
        <v>1449</v>
      </c>
      <c r="B132" s="145" t="s">
        <v>1460</v>
      </c>
      <c r="C132" s="145" t="s">
        <v>1436</v>
      </c>
      <c r="D132" s="145" t="s">
        <v>1452</v>
      </c>
      <c r="E132" s="149">
        <v>40764</v>
      </c>
      <c r="F132" s="146">
        <v>12</v>
      </c>
      <c r="G132" s="146">
        <v>5628</v>
      </c>
      <c r="H132" s="152"/>
    </row>
    <row r="133" spans="1:8" hidden="1" x14ac:dyDescent="0.25">
      <c r="A133" s="145" t="s">
        <v>1448</v>
      </c>
      <c r="B133" s="145" t="s">
        <v>1460</v>
      </c>
      <c r="C133" s="145" t="s">
        <v>1436</v>
      </c>
      <c r="D133" s="145" t="s">
        <v>1450</v>
      </c>
      <c r="E133" s="149">
        <v>40691</v>
      </c>
      <c r="F133" s="146">
        <v>12</v>
      </c>
      <c r="G133" s="146">
        <v>6744</v>
      </c>
      <c r="H133" s="152"/>
    </row>
    <row r="134" spans="1:8" hidden="1" x14ac:dyDescent="0.25">
      <c r="A134" s="145" t="s">
        <v>1438</v>
      </c>
      <c r="B134" s="151" t="s">
        <v>1460</v>
      </c>
      <c r="C134" s="145" t="s">
        <v>1445</v>
      </c>
      <c r="D134" s="145" t="s">
        <v>1455</v>
      </c>
      <c r="E134" s="149">
        <v>40185</v>
      </c>
      <c r="F134" s="146">
        <v>13</v>
      </c>
      <c r="G134" s="150">
        <v>6461</v>
      </c>
      <c r="H134" s="152"/>
    </row>
    <row r="135" spans="1:8" hidden="1" x14ac:dyDescent="0.25">
      <c r="A135" s="145" t="s">
        <v>1438</v>
      </c>
      <c r="B135" s="145" t="s">
        <v>1460</v>
      </c>
      <c r="C135" s="145" t="s">
        <v>1439</v>
      </c>
      <c r="D135" s="145" t="s">
        <v>1455</v>
      </c>
      <c r="E135" s="149">
        <v>40788</v>
      </c>
      <c r="F135" s="146">
        <v>13</v>
      </c>
      <c r="G135" s="146">
        <v>9997</v>
      </c>
      <c r="H135" s="152"/>
    </row>
    <row r="136" spans="1:8" hidden="1" x14ac:dyDescent="0.25">
      <c r="A136" s="145" t="s">
        <v>1456</v>
      </c>
      <c r="B136" s="145" t="s">
        <v>1460</v>
      </c>
      <c r="C136" s="145" t="s">
        <v>1439</v>
      </c>
      <c r="D136" s="145" t="s">
        <v>1455</v>
      </c>
      <c r="E136" s="149">
        <v>40849</v>
      </c>
      <c r="F136" s="146">
        <v>13</v>
      </c>
      <c r="G136" s="146">
        <v>10153</v>
      </c>
      <c r="H136" s="152"/>
    </row>
    <row r="137" spans="1:8" hidden="1" x14ac:dyDescent="0.25">
      <c r="A137" s="145" t="s">
        <v>1451</v>
      </c>
      <c r="B137" s="145" t="s">
        <v>1460</v>
      </c>
      <c r="C137" s="145" t="s">
        <v>1436</v>
      </c>
      <c r="D137" s="145" t="s">
        <v>1455</v>
      </c>
      <c r="E137" s="149">
        <v>40470</v>
      </c>
      <c r="F137" s="146">
        <v>13</v>
      </c>
      <c r="G137" s="146">
        <v>10881</v>
      </c>
      <c r="H137" s="152"/>
    </row>
    <row r="138" spans="1:8" hidden="1" x14ac:dyDescent="0.25">
      <c r="A138" s="145" t="s">
        <v>1454</v>
      </c>
      <c r="B138" s="145" t="s">
        <v>1460</v>
      </c>
      <c r="C138" s="145" t="s">
        <v>1441</v>
      </c>
      <c r="D138" s="145" t="s">
        <v>1435</v>
      </c>
      <c r="E138" s="149">
        <v>40525</v>
      </c>
      <c r="F138" s="146">
        <v>13</v>
      </c>
      <c r="G138" s="146">
        <v>6357</v>
      </c>
      <c r="H138" s="152"/>
    </row>
    <row r="139" spans="1:8" hidden="1" x14ac:dyDescent="0.25">
      <c r="A139" s="145" t="s">
        <v>1451</v>
      </c>
      <c r="B139" s="145" t="s">
        <v>1460</v>
      </c>
      <c r="C139" s="145" t="s">
        <v>1436</v>
      </c>
      <c r="D139" s="145" t="s">
        <v>1435</v>
      </c>
      <c r="E139" s="149">
        <v>40432</v>
      </c>
      <c r="F139" s="146">
        <v>13</v>
      </c>
      <c r="G139" s="146">
        <v>6071</v>
      </c>
      <c r="H139" s="152"/>
    </row>
    <row r="140" spans="1:8" hidden="1" x14ac:dyDescent="0.25">
      <c r="A140" s="145" t="s">
        <v>1443</v>
      </c>
      <c r="B140" s="145" t="s">
        <v>1460</v>
      </c>
      <c r="C140" s="145" t="s">
        <v>1439</v>
      </c>
      <c r="D140" s="145" t="s">
        <v>1453</v>
      </c>
      <c r="E140" s="149">
        <v>40409</v>
      </c>
      <c r="F140" s="146">
        <v>13</v>
      </c>
      <c r="G140" s="146">
        <v>11531</v>
      </c>
      <c r="H140" s="152"/>
    </row>
    <row r="141" spans="1:8" hidden="1" x14ac:dyDescent="0.25">
      <c r="A141" s="145" t="s">
        <v>1456</v>
      </c>
      <c r="B141" s="145" t="s">
        <v>1460</v>
      </c>
      <c r="C141" s="145" t="s">
        <v>1439</v>
      </c>
      <c r="D141" s="145" t="s">
        <v>1453</v>
      </c>
      <c r="E141" s="149">
        <v>40680</v>
      </c>
      <c r="F141" s="146">
        <v>13</v>
      </c>
      <c r="G141" s="146">
        <v>6370</v>
      </c>
      <c r="H141" s="152"/>
    </row>
    <row r="142" spans="1:8" hidden="1" x14ac:dyDescent="0.25">
      <c r="A142" s="145" t="s">
        <v>1443</v>
      </c>
      <c r="B142" s="145" t="s">
        <v>1460</v>
      </c>
      <c r="C142" s="145" t="s">
        <v>1441</v>
      </c>
      <c r="D142" s="145" t="s">
        <v>1452</v>
      </c>
      <c r="E142" s="149">
        <v>40437</v>
      </c>
      <c r="F142" s="146">
        <v>13</v>
      </c>
      <c r="G142" s="146">
        <v>9581</v>
      </c>
      <c r="H142" s="152"/>
    </row>
    <row r="143" spans="1:8" hidden="1" x14ac:dyDescent="0.25">
      <c r="A143" s="145" t="s">
        <v>1443</v>
      </c>
      <c r="B143" s="145" t="s">
        <v>1460</v>
      </c>
      <c r="C143" s="145" t="s">
        <v>1441</v>
      </c>
      <c r="D143" s="145" t="s">
        <v>1452</v>
      </c>
      <c r="E143" s="149">
        <v>40648</v>
      </c>
      <c r="F143" s="146">
        <v>13</v>
      </c>
      <c r="G143" s="146">
        <v>6097</v>
      </c>
      <c r="H143" s="152"/>
    </row>
    <row r="144" spans="1:8" hidden="1" x14ac:dyDescent="0.25">
      <c r="A144" s="145" t="s">
        <v>1443</v>
      </c>
      <c r="B144" s="145" t="s">
        <v>1460</v>
      </c>
      <c r="C144" s="145" t="s">
        <v>1441</v>
      </c>
      <c r="D144" s="145" t="s">
        <v>1452</v>
      </c>
      <c r="E144" s="149">
        <v>40771</v>
      </c>
      <c r="F144" s="146">
        <v>13</v>
      </c>
      <c r="G144" s="146">
        <v>7345</v>
      </c>
      <c r="H144" s="152"/>
    </row>
    <row r="145" spans="1:8" hidden="1" x14ac:dyDescent="0.25">
      <c r="A145" s="145" t="s">
        <v>1454</v>
      </c>
      <c r="B145" s="145" t="s">
        <v>1460</v>
      </c>
      <c r="C145" s="145" t="s">
        <v>1439</v>
      </c>
      <c r="D145" s="145" t="s">
        <v>1452</v>
      </c>
      <c r="E145" s="149">
        <v>40841</v>
      </c>
      <c r="F145" s="146">
        <v>13</v>
      </c>
      <c r="G145" s="146">
        <v>9698</v>
      </c>
      <c r="H145" s="152"/>
    </row>
    <row r="146" spans="1:8" hidden="1" x14ac:dyDescent="0.25">
      <c r="A146" s="145" t="s">
        <v>1443</v>
      </c>
      <c r="B146" s="145" t="s">
        <v>1460</v>
      </c>
      <c r="C146" s="145" t="s">
        <v>1441</v>
      </c>
      <c r="D146" s="145" t="s">
        <v>1450</v>
      </c>
      <c r="E146" s="149">
        <v>40593</v>
      </c>
      <c r="F146" s="146">
        <v>13</v>
      </c>
      <c r="G146" s="146">
        <v>9659</v>
      </c>
      <c r="H146" s="152"/>
    </row>
    <row r="147" spans="1:8" hidden="1" x14ac:dyDescent="0.25">
      <c r="A147" s="145" t="s">
        <v>1447</v>
      </c>
      <c r="B147" s="145" t="s">
        <v>1460</v>
      </c>
      <c r="C147" s="145" t="s">
        <v>1441</v>
      </c>
      <c r="D147" s="145" t="s">
        <v>1450</v>
      </c>
      <c r="E147" s="149">
        <v>40603</v>
      </c>
      <c r="F147" s="146">
        <v>13</v>
      </c>
      <c r="G147" s="146">
        <v>6331</v>
      </c>
      <c r="H147" s="152"/>
    </row>
    <row r="148" spans="1:8" hidden="1" x14ac:dyDescent="0.25">
      <c r="A148" s="145" t="s">
        <v>1440</v>
      </c>
      <c r="B148" s="145" t="s">
        <v>1460</v>
      </c>
      <c r="C148" s="145" t="s">
        <v>1441</v>
      </c>
      <c r="D148" s="145" t="s">
        <v>1455</v>
      </c>
      <c r="E148" s="149">
        <v>40376</v>
      </c>
      <c r="F148" s="146">
        <v>14</v>
      </c>
      <c r="G148" s="146">
        <v>9408</v>
      </c>
      <c r="H148" s="152"/>
    </row>
    <row r="149" spans="1:8" hidden="1" x14ac:dyDescent="0.25">
      <c r="A149" s="145" t="s">
        <v>1447</v>
      </c>
      <c r="B149" s="145" t="s">
        <v>1460</v>
      </c>
      <c r="C149" s="145" t="s">
        <v>1441</v>
      </c>
      <c r="D149" s="145" t="s">
        <v>1455</v>
      </c>
      <c r="E149" s="149">
        <v>40428</v>
      </c>
      <c r="F149" s="146">
        <v>14</v>
      </c>
      <c r="G149" s="146">
        <v>8120</v>
      </c>
      <c r="H149" s="152"/>
    </row>
    <row r="150" spans="1:8" hidden="1" x14ac:dyDescent="0.25">
      <c r="A150" s="145" t="s">
        <v>1454</v>
      </c>
      <c r="B150" s="145" t="s">
        <v>1460</v>
      </c>
      <c r="C150" s="145" t="s">
        <v>1436</v>
      </c>
      <c r="D150" s="145" t="s">
        <v>1455</v>
      </c>
      <c r="E150" s="149">
        <v>40885</v>
      </c>
      <c r="F150" s="146">
        <v>14</v>
      </c>
      <c r="G150" s="146">
        <v>8540</v>
      </c>
      <c r="H150" s="152"/>
    </row>
    <row r="151" spans="1:8" hidden="1" x14ac:dyDescent="0.25">
      <c r="A151" s="145" t="s">
        <v>1440</v>
      </c>
      <c r="B151" s="145" t="s">
        <v>1460</v>
      </c>
      <c r="C151" s="145" t="s">
        <v>1445</v>
      </c>
      <c r="D151" s="145" t="s">
        <v>1435</v>
      </c>
      <c r="E151" s="149">
        <v>40369</v>
      </c>
      <c r="F151" s="146">
        <v>14</v>
      </c>
      <c r="G151" s="146">
        <v>8862</v>
      </c>
      <c r="H151" s="152"/>
    </row>
    <row r="152" spans="1:8" hidden="1" x14ac:dyDescent="0.25">
      <c r="A152" s="145" t="s">
        <v>1456</v>
      </c>
      <c r="B152" s="145" t="s">
        <v>1460</v>
      </c>
      <c r="C152" s="145" t="s">
        <v>1441</v>
      </c>
      <c r="D152" s="145" t="s">
        <v>1435</v>
      </c>
      <c r="E152" s="149">
        <v>40677</v>
      </c>
      <c r="F152" s="146">
        <v>14</v>
      </c>
      <c r="G152" s="146">
        <v>10808</v>
      </c>
      <c r="H152" s="152"/>
    </row>
    <row r="153" spans="1:8" hidden="1" x14ac:dyDescent="0.25">
      <c r="A153" s="145" t="s">
        <v>1438</v>
      </c>
      <c r="B153" s="145" t="s">
        <v>1460</v>
      </c>
      <c r="C153" s="145" t="s">
        <v>1439</v>
      </c>
      <c r="D153" s="145" t="s">
        <v>1435</v>
      </c>
      <c r="E153" s="149">
        <v>40225</v>
      </c>
      <c r="F153" s="146">
        <v>14</v>
      </c>
      <c r="G153" s="146">
        <v>9618</v>
      </c>
      <c r="H153" s="152"/>
    </row>
    <row r="154" spans="1:8" hidden="1" x14ac:dyDescent="0.25">
      <c r="A154" s="145" t="s">
        <v>1443</v>
      </c>
      <c r="B154" s="145" t="s">
        <v>1460</v>
      </c>
      <c r="C154" s="145" t="s">
        <v>1439</v>
      </c>
      <c r="D154" s="145" t="s">
        <v>1435</v>
      </c>
      <c r="E154" s="149">
        <v>40819</v>
      </c>
      <c r="F154" s="146">
        <v>14</v>
      </c>
      <c r="G154" s="146">
        <v>8008</v>
      </c>
      <c r="H154" s="152"/>
    </row>
    <row r="155" spans="1:8" hidden="1" x14ac:dyDescent="0.25">
      <c r="A155" s="145" t="s">
        <v>1444</v>
      </c>
      <c r="B155" s="145" t="s">
        <v>1460</v>
      </c>
      <c r="C155" s="145" t="s">
        <v>1436</v>
      </c>
      <c r="D155" s="145" t="s">
        <v>1435</v>
      </c>
      <c r="E155" s="149">
        <v>40504</v>
      </c>
      <c r="F155" s="146">
        <v>14</v>
      </c>
      <c r="G155" s="146">
        <v>12110</v>
      </c>
      <c r="H155" s="152"/>
    </row>
    <row r="156" spans="1:8" hidden="1" x14ac:dyDescent="0.25">
      <c r="A156" s="145" t="s">
        <v>1444</v>
      </c>
      <c r="B156" s="145" t="s">
        <v>1460</v>
      </c>
      <c r="C156" s="145" t="s">
        <v>1445</v>
      </c>
      <c r="D156" s="145" t="s">
        <v>1453</v>
      </c>
      <c r="E156" s="149">
        <v>40227</v>
      </c>
      <c r="F156" s="146">
        <v>14</v>
      </c>
      <c r="G156" s="150">
        <v>7658</v>
      </c>
      <c r="H156" s="152"/>
    </row>
    <row r="157" spans="1:8" hidden="1" x14ac:dyDescent="0.25">
      <c r="A157" s="145" t="s">
        <v>1449</v>
      </c>
      <c r="B157" s="145" t="s">
        <v>1460</v>
      </c>
      <c r="C157" s="145" t="s">
        <v>1436</v>
      </c>
      <c r="D157" s="145" t="s">
        <v>1453</v>
      </c>
      <c r="E157" s="149">
        <v>40505</v>
      </c>
      <c r="F157" s="146">
        <v>14</v>
      </c>
      <c r="G157" s="146">
        <v>12264</v>
      </c>
      <c r="H157" s="152"/>
    </row>
    <row r="158" spans="1:8" hidden="1" x14ac:dyDescent="0.25">
      <c r="A158" s="145" t="s">
        <v>1446</v>
      </c>
      <c r="B158" s="145" t="s">
        <v>1460</v>
      </c>
      <c r="C158" s="145" t="s">
        <v>1436</v>
      </c>
      <c r="D158" s="145" t="s">
        <v>1452</v>
      </c>
      <c r="E158" s="149">
        <v>40655</v>
      </c>
      <c r="F158" s="146">
        <v>14</v>
      </c>
      <c r="G158" s="146">
        <v>10780</v>
      </c>
      <c r="H158" s="152"/>
    </row>
    <row r="159" spans="1:8" hidden="1" x14ac:dyDescent="0.25">
      <c r="A159" s="145" t="s">
        <v>1454</v>
      </c>
      <c r="B159" s="145" t="s">
        <v>1460</v>
      </c>
      <c r="C159" s="145" t="s">
        <v>1441</v>
      </c>
      <c r="D159" s="145" t="s">
        <v>1450</v>
      </c>
      <c r="E159" s="149">
        <v>40354</v>
      </c>
      <c r="F159" s="146">
        <v>14</v>
      </c>
      <c r="G159" s="146">
        <v>10276</v>
      </c>
      <c r="H159" s="152"/>
    </row>
    <row r="160" spans="1:8" hidden="1" x14ac:dyDescent="0.25">
      <c r="A160" s="145" t="s">
        <v>1446</v>
      </c>
      <c r="B160" s="145" t="s">
        <v>1460</v>
      </c>
      <c r="C160" s="145" t="s">
        <v>1436</v>
      </c>
      <c r="D160" s="145" t="s">
        <v>1450</v>
      </c>
      <c r="E160" s="149">
        <v>40528</v>
      </c>
      <c r="F160" s="146">
        <v>14</v>
      </c>
      <c r="G160" s="146">
        <v>10486</v>
      </c>
      <c r="H160" s="152"/>
    </row>
    <row r="161" spans="1:8" hidden="1" x14ac:dyDescent="0.25">
      <c r="A161" s="145" t="s">
        <v>1444</v>
      </c>
      <c r="B161" s="145" t="s">
        <v>1460</v>
      </c>
      <c r="C161" s="145" t="s">
        <v>1439</v>
      </c>
      <c r="D161" s="145" t="s">
        <v>1435</v>
      </c>
      <c r="E161" s="149">
        <v>40365</v>
      </c>
      <c r="F161" s="146">
        <v>15</v>
      </c>
      <c r="G161" s="146">
        <v>8910</v>
      </c>
      <c r="H161" s="152"/>
    </row>
    <row r="162" spans="1:8" hidden="1" x14ac:dyDescent="0.25">
      <c r="A162" s="145" t="s">
        <v>1456</v>
      </c>
      <c r="B162" s="145" t="s">
        <v>1460</v>
      </c>
      <c r="C162" s="145" t="s">
        <v>1436</v>
      </c>
      <c r="D162" s="145" t="s">
        <v>1435</v>
      </c>
      <c r="E162" s="149">
        <v>40564</v>
      </c>
      <c r="F162" s="146">
        <v>15</v>
      </c>
      <c r="G162" s="146">
        <v>8790</v>
      </c>
      <c r="H162" s="152"/>
    </row>
    <row r="163" spans="1:8" hidden="1" x14ac:dyDescent="0.25">
      <c r="A163" s="145" t="s">
        <v>1446</v>
      </c>
      <c r="B163" s="145" t="s">
        <v>1460</v>
      </c>
      <c r="C163" s="145" t="s">
        <v>1445</v>
      </c>
      <c r="D163" s="145" t="s">
        <v>1453</v>
      </c>
      <c r="E163" s="149">
        <v>40379</v>
      </c>
      <c r="F163" s="146">
        <v>15</v>
      </c>
      <c r="G163" s="146">
        <v>6615</v>
      </c>
      <c r="H163" s="152"/>
    </row>
    <row r="164" spans="1:8" hidden="1" x14ac:dyDescent="0.25">
      <c r="A164" s="145" t="s">
        <v>1438</v>
      </c>
      <c r="B164" s="145" t="s">
        <v>1460</v>
      </c>
      <c r="C164" s="145" t="s">
        <v>1445</v>
      </c>
      <c r="D164" s="145" t="s">
        <v>1453</v>
      </c>
      <c r="E164" s="149">
        <v>40876</v>
      </c>
      <c r="F164" s="146">
        <v>15</v>
      </c>
      <c r="G164" s="146">
        <v>6855</v>
      </c>
      <c r="H164" s="152"/>
    </row>
    <row r="165" spans="1:8" hidden="1" x14ac:dyDescent="0.25">
      <c r="A165" s="145" t="s">
        <v>1454</v>
      </c>
      <c r="B165" s="145" t="s">
        <v>1460</v>
      </c>
      <c r="C165" s="145" t="s">
        <v>1439</v>
      </c>
      <c r="D165" s="145" t="s">
        <v>1453</v>
      </c>
      <c r="E165" s="149">
        <v>40821</v>
      </c>
      <c r="F165" s="146">
        <v>15</v>
      </c>
      <c r="G165" s="146">
        <v>11700</v>
      </c>
      <c r="H165" s="152"/>
    </row>
    <row r="166" spans="1:8" hidden="1" x14ac:dyDescent="0.25">
      <c r="A166" s="145" t="s">
        <v>1447</v>
      </c>
      <c r="B166" s="145" t="s">
        <v>1460</v>
      </c>
      <c r="C166" s="145" t="s">
        <v>1439</v>
      </c>
      <c r="D166" s="145" t="s">
        <v>1452</v>
      </c>
      <c r="E166" s="149">
        <v>40813</v>
      </c>
      <c r="F166" s="146">
        <v>15</v>
      </c>
      <c r="G166" s="146">
        <v>8280</v>
      </c>
      <c r="H166" s="152"/>
    </row>
    <row r="167" spans="1:8" hidden="1" x14ac:dyDescent="0.25">
      <c r="A167" s="145" t="s">
        <v>1442</v>
      </c>
      <c r="B167" s="145" t="s">
        <v>1460</v>
      </c>
      <c r="C167" s="145" t="s">
        <v>1445</v>
      </c>
      <c r="D167" s="145" t="s">
        <v>1450</v>
      </c>
      <c r="E167" s="149">
        <v>40550</v>
      </c>
      <c r="F167" s="146">
        <v>15</v>
      </c>
      <c r="G167" s="146">
        <v>11340</v>
      </c>
      <c r="H167" s="152"/>
    </row>
    <row r="168" spans="1:8" hidden="1" x14ac:dyDescent="0.25">
      <c r="A168" s="145" t="s">
        <v>1447</v>
      </c>
      <c r="B168" s="145" t="s">
        <v>1460</v>
      </c>
      <c r="C168" s="145" t="s">
        <v>1439</v>
      </c>
      <c r="D168" s="145" t="s">
        <v>1450</v>
      </c>
      <c r="E168" s="149">
        <v>40354</v>
      </c>
      <c r="F168" s="146">
        <v>15</v>
      </c>
      <c r="G168" s="146">
        <v>12285</v>
      </c>
      <c r="H168" s="152"/>
    </row>
    <row r="169" spans="1:8" hidden="1" x14ac:dyDescent="0.25">
      <c r="A169" s="145" t="s">
        <v>1438</v>
      </c>
      <c r="B169" s="145" t="s">
        <v>1460</v>
      </c>
      <c r="C169" s="145" t="s">
        <v>1439</v>
      </c>
      <c r="D169" s="145" t="s">
        <v>1450</v>
      </c>
      <c r="E169" s="149">
        <v>40571</v>
      </c>
      <c r="F169" s="146">
        <v>15</v>
      </c>
      <c r="G169" s="146">
        <v>8055</v>
      </c>
      <c r="H169" s="152"/>
    </row>
    <row r="170" spans="1:8" hidden="1" x14ac:dyDescent="0.25">
      <c r="A170" s="145" t="s">
        <v>1443</v>
      </c>
      <c r="B170" s="145" t="s">
        <v>1460</v>
      </c>
      <c r="C170" s="145" t="s">
        <v>1441</v>
      </c>
      <c r="D170" s="145" t="s">
        <v>1435</v>
      </c>
      <c r="E170" s="149">
        <v>40291</v>
      </c>
      <c r="F170" s="146">
        <v>16</v>
      </c>
      <c r="G170" s="146">
        <v>12512</v>
      </c>
      <c r="H170" s="152"/>
    </row>
    <row r="171" spans="1:8" hidden="1" x14ac:dyDescent="0.25">
      <c r="A171" s="145" t="s">
        <v>1449</v>
      </c>
      <c r="B171" s="145" t="s">
        <v>1460</v>
      </c>
      <c r="C171" s="145" t="s">
        <v>1441</v>
      </c>
      <c r="D171" s="145" t="s">
        <v>1435</v>
      </c>
      <c r="E171" s="149">
        <v>40767</v>
      </c>
      <c r="F171" s="146">
        <v>16</v>
      </c>
      <c r="G171" s="146">
        <v>9360</v>
      </c>
      <c r="H171" s="152"/>
    </row>
    <row r="172" spans="1:8" hidden="1" x14ac:dyDescent="0.25">
      <c r="A172" s="145" t="s">
        <v>1448</v>
      </c>
      <c r="B172" s="145" t="s">
        <v>1460</v>
      </c>
      <c r="C172" s="145" t="s">
        <v>1436</v>
      </c>
      <c r="D172" s="145" t="s">
        <v>1435</v>
      </c>
      <c r="E172" s="149">
        <v>40716</v>
      </c>
      <c r="F172" s="146">
        <v>16</v>
      </c>
      <c r="G172" s="146">
        <v>14208</v>
      </c>
      <c r="H172" s="152"/>
    </row>
    <row r="173" spans="1:8" hidden="1" x14ac:dyDescent="0.25">
      <c r="A173" s="145" t="s">
        <v>1438</v>
      </c>
      <c r="B173" s="145" t="s">
        <v>1460</v>
      </c>
      <c r="C173" s="145" t="s">
        <v>1436</v>
      </c>
      <c r="D173" s="145" t="s">
        <v>1435</v>
      </c>
      <c r="E173" s="149">
        <v>40229</v>
      </c>
      <c r="F173" s="146">
        <v>17</v>
      </c>
      <c r="G173" s="146">
        <v>10098</v>
      </c>
      <c r="H173" s="152"/>
    </row>
    <row r="174" spans="1:8" hidden="1" x14ac:dyDescent="0.25">
      <c r="A174" s="145" t="s">
        <v>1449</v>
      </c>
      <c r="B174" s="145" t="s">
        <v>1460</v>
      </c>
      <c r="C174" s="145" t="s">
        <v>1436</v>
      </c>
      <c r="D174" s="145" t="s">
        <v>1435</v>
      </c>
      <c r="E174" s="149">
        <v>40716</v>
      </c>
      <c r="F174" s="146">
        <v>17</v>
      </c>
      <c r="G174" s="146">
        <v>9112</v>
      </c>
      <c r="H174" s="152"/>
    </row>
    <row r="175" spans="1:8" hidden="1" x14ac:dyDescent="0.25">
      <c r="A175" s="145" t="s">
        <v>1438</v>
      </c>
      <c r="B175" s="145" t="s">
        <v>1460</v>
      </c>
      <c r="C175" s="145" t="s">
        <v>1441</v>
      </c>
      <c r="D175" s="145" t="s">
        <v>1435</v>
      </c>
      <c r="E175" s="149">
        <v>40548</v>
      </c>
      <c r="F175" s="146">
        <v>18</v>
      </c>
      <c r="G175" s="146">
        <v>7380</v>
      </c>
      <c r="H175" s="152"/>
    </row>
    <row r="176" spans="1:8" hidden="1" x14ac:dyDescent="0.25">
      <c r="A176" s="145" t="s">
        <v>1444</v>
      </c>
      <c r="B176" s="145" t="s">
        <v>1460</v>
      </c>
      <c r="C176" s="145" t="s">
        <v>1436</v>
      </c>
      <c r="D176" s="145" t="s">
        <v>1435</v>
      </c>
      <c r="E176" s="149">
        <v>40226</v>
      </c>
      <c r="F176" s="146">
        <v>18</v>
      </c>
      <c r="G176" s="146">
        <v>12438</v>
      </c>
      <c r="H176" s="152"/>
    </row>
    <row r="177" spans="1:8" hidden="1" x14ac:dyDescent="0.25">
      <c r="A177" s="145" t="s">
        <v>1451</v>
      </c>
      <c r="B177" s="145" t="s">
        <v>1460</v>
      </c>
      <c r="C177" s="145" t="s">
        <v>1436</v>
      </c>
      <c r="D177" s="145" t="s">
        <v>1435</v>
      </c>
      <c r="E177" s="149">
        <v>40871</v>
      </c>
      <c r="F177" s="146">
        <v>18</v>
      </c>
      <c r="G177" s="146">
        <v>8046</v>
      </c>
      <c r="H177" s="152"/>
    </row>
    <row r="178" spans="1:8" hidden="1" x14ac:dyDescent="0.25">
      <c r="A178" s="145" t="s">
        <v>1449</v>
      </c>
      <c r="B178" s="145" t="s">
        <v>1460</v>
      </c>
      <c r="C178" s="145" t="s">
        <v>1439</v>
      </c>
      <c r="D178" s="145" t="s">
        <v>1435</v>
      </c>
      <c r="E178" s="149">
        <v>40345</v>
      </c>
      <c r="F178" s="146">
        <v>19</v>
      </c>
      <c r="G178" s="146">
        <v>8189</v>
      </c>
      <c r="H178" s="152"/>
    </row>
    <row r="179" spans="1:8" hidden="1" x14ac:dyDescent="0.25">
      <c r="A179" s="145" t="s">
        <v>1440</v>
      </c>
      <c r="B179" s="145" t="s">
        <v>1460</v>
      </c>
      <c r="C179" s="145" t="s">
        <v>1439</v>
      </c>
      <c r="D179" s="145" t="s">
        <v>1435</v>
      </c>
      <c r="E179" s="149">
        <v>40351</v>
      </c>
      <c r="F179" s="146">
        <v>19</v>
      </c>
      <c r="G179" s="146">
        <v>13224</v>
      </c>
      <c r="H179" s="152"/>
    </row>
    <row r="180" spans="1:8" hidden="1" x14ac:dyDescent="0.25">
      <c r="A180" s="145" t="s">
        <v>1442</v>
      </c>
      <c r="B180" s="145" t="s">
        <v>1460</v>
      </c>
      <c r="C180" s="145" t="s">
        <v>1439</v>
      </c>
      <c r="D180" s="145" t="s">
        <v>1435</v>
      </c>
      <c r="E180" s="149">
        <v>40715</v>
      </c>
      <c r="F180" s="146">
        <v>19</v>
      </c>
      <c r="G180" s="146">
        <v>9063</v>
      </c>
      <c r="H180" s="152"/>
    </row>
    <row r="181" spans="1:8" hidden="1" x14ac:dyDescent="0.25">
      <c r="A181" s="145" t="s">
        <v>1451</v>
      </c>
      <c r="B181" s="145" t="s">
        <v>1460</v>
      </c>
      <c r="C181" s="145" t="s">
        <v>1439</v>
      </c>
      <c r="D181" s="145" t="s">
        <v>1435</v>
      </c>
      <c r="E181" s="149">
        <v>40807</v>
      </c>
      <c r="F181" s="146">
        <v>19</v>
      </c>
      <c r="G181" s="146">
        <v>14820</v>
      </c>
      <c r="H181" s="152"/>
    </row>
    <row r="182" spans="1:8" hidden="1" x14ac:dyDescent="0.25">
      <c r="A182" s="145" t="s">
        <v>1456</v>
      </c>
      <c r="B182" s="145" t="s">
        <v>1460</v>
      </c>
      <c r="C182" s="145" t="s">
        <v>1436</v>
      </c>
      <c r="D182" s="145" t="s">
        <v>1435</v>
      </c>
      <c r="E182" s="149">
        <v>40863</v>
      </c>
      <c r="F182" s="146">
        <v>19</v>
      </c>
      <c r="G182" s="146">
        <v>15409</v>
      </c>
      <c r="H182" s="152"/>
    </row>
    <row r="183" spans="1:8" hidden="1" x14ac:dyDescent="0.25">
      <c r="A183" s="145" t="s">
        <v>1451</v>
      </c>
      <c r="B183" s="145" t="s">
        <v>1460</v>
      </c>
      <c r="C183" s="145" t="s">
        <v>1439</v>
      </c>
      <c r="D183" s="145" t="s">
        <v>1435</v>
      </c>
      <c r="E183" s="149">
        <v>40687</v>
      </c>
      <c r="F183" s="146">
        <v>20</v>
      </c>
      <c r="G183" s="146">
        <v>16960</v>
      </c>
      <c r="H183" s="152"/>
    </row>
    <row r="184" spans="1:8" hidden="1" x14ac:dyDescent="0.25">
      <c r="A184" s="145" t="s">
        <v>1456</v>
      </c>
      <c r="B184" s="145" t="s">
        <v>1460</v>
      </c>
      <c r="C184" s="145" t="s">
        <v>1436</v>
      </c>
      <c r="D184" s="145" t="s">
        <v>1435</v>
      </c>
      <c r="E184" s="149">
        <v>40534</v>
      </c>
      <c r="F184" s="146">
        <v>20</v>
      </c>
      <c r="G184" s="146">
        <v>15820</v>
      </c>
      <c r="H184" s="152"/>
    </row>
    <row r="185" spans="1:8" hidden="1" x14ac:dyDescent="0.25">
      <c r="A185" s="145" t="s">
        <v>1446</v>
      </c>
      <c r="B185" s="145" t="s">
        <v>1460</v>
      </c>
      <c r="C185" s="145" t="s">
        <v>1436</v>
      </c>
      <c r="D185" s="145" t="s">
        <v>1435</v>
      </c>
      <c r="E185" s="149">
        <v>40663</v>
      </c>
      <c r="F185" s="146">
        <v>20</v>
      </c>
      <c r="G185" s="146">
        <v>15300</v>
      </c>
      <c r="H185" s="152"/>
    </row>
    <row r="186" spans="1:8" x14ac:dyDescent="0.25">
      <c r="A186" s="145" t="s">
        <v>1446</v>
      </c>
      <c r="B186" s="145" t="s">
        <v>1459</v>
      </c>
      <c r="C186" s="145" t="s">
        <v>1445</v>
      </c>
      <c r="D186" s="145" t="s">
        <v>1453</v>
      </c>
      <c r="E186" s="149">
        <v>40710</v>
      </c>
      <c r="F186" s="146">
        <v>1</v>
      </c>
      <c r="G186" s="146">
        <v>816</v>
      </c>
      <c r="H186" s="152"/>
    </row>
    <row r="187" spans="1:8" hidden="1" x14ac:dyDescent="0.25">
      <c r="A187" s="145" t="s">
        <v>1448</v>
      </c>
      <c r="B187" s="145" t="s">
        <v>1459</v>
      </c>
      <c r="C187" s="145" t="s">
        <v>1436</v>
      </c>
      <c r="D187" s="145" t="s">
        <v>1453</v>
      </c>
      <c r="E187" s="149">
        <v>40774</v>
      </c>
      <c r="F187" s="146">
        <v>1</v>
      </c>
      <c r="G187" s="146">
        <v>669</v>
      </c>
      <c r="H187" s="152"/>
    </row>
    <row r="188" spans="1:8" hidden="1" x14ac:dyDescent="0.25">
      <c r="A188" s="145" t="s">
        <v>1442</v>
      </c>
      <c r="B188" s="145" t="s">
        <v>1459</v>
      </c>
      <c r="C188" s="145" t="s">
        <v>1441</v>
      </c>
      <c r="D188" s="145" t="s">
        <v>1452</v>
      </c>
      <c r="E188" s="149">
        <v>40665</v>
      </c>
      <c r="F188" s="146">
        <v>1</v>
      </c>
      <c r="G188" s="146">
        <v>352</v>
      </c>
      <c r="H188" s="152"/>
    </row>
    <row r="189" spans="1:8" hidden="1" x14ac:dyDescent="0.25">
      <c r="A189" s="145" t="s">
        <v>1454</v>
      </c>
      <c r="B189" s="145" t="s">
        <v>1459</v>
      </c>
      <c r="C189" s="145" t="s">
        <v>1441</v>
      </c>
      <c r="D189" s="145" t="s">
        <v>1452</v>
      </c>
      <c r="E189" s="149">
        <v>40837</v>
      </c>
      <c r="F189" s="146">
        <v>1</v>
      </c>
      <c r="G189" s="146">
        <v>796</v>
      </c>
      <c r="H189" s="152"/>
    </row>
    <row r="190" spans="1:8" hidden="1" x14ac:dyDescent="0.25">
      <c r="A190" s="145" t="s">
        <v>1447</v>
      </c>
      <c r="B190" s="145" t="s">
        <v>1459</v>
      </c>
      <c r="C190" s="145" t="s">
        <v>1439</v>
      </c>
      <c r="D190" s="145" t="s">
        <v>1452</v>
      </c>
      <c r="E190" s="149">
        <v>40522</v>
      </c>
      <c r="F190" s="146">
        <v>1</v>
      </c>
      <c r="G190" s="146">
        <v>444</v>
      </c>
      <c r="H190" s="152"/>
    </row>
    <row r="191" spans="1:8" hidden="1" x14ac:dyDescent="0.25">
      <c r="A191" s="145" t="s">
        <v>1438</v>
      </c>
      <c r="B191" s="145" t="s">
        <v>1459</v>
      </c>
      <c r="C191" s="145" t="s">
        <v>1436</v>
      </c>
      <c r="D191" s="145" t="s">
        <v>1452</v>
      </c>
      <c r="E191" s="149">
        <v>40215</v>
      </c>
      <c r="F191" s="146">
        <v>1</v>
      </c>
      <c r="G191" s="150">
        <v>598</v>
      </c>
      <c r="H191" s="152"/>
    </row>
    <row r="192" spans="1:8" hidden="1" x14ac:dyDescent="0.25">
      <c r="A192" s="145" t="s">
        <v>1444</v>
      </c>
      <c r="B192" s="145" t="s">
        <v>1459</v>
      </c>
      <c r="C192" s="145" t="s">
        <v>1436</v>
      </c>
      <c r="D192" s="145" t="s">
        <v>1452</v>
      </c>
      <c r="E192" s="149">
        <v>40424</v>
      </c>
      <c r="F192" s="146">
        <v>1</v>
      </c>
      <c r="G192" s="146">
        <v>766</v>
      </c>
      <c r="H192" s="152"/>
    </row>
    <row r="193" spans="1:8" x14ac:dyDescent="0.25">
      <c r="A193" s="145" t="s">
        <v>1438</v>
      </c>
      <c r="B193" s="145" t="s">
        <v>1459</v>
      </c>
      <c r="C193" s="145" t="s">
        <v>1445</v>
      </c>
      <c r="D193" s="145" t="s">
        <v>1450</v>
      </c>
      <c r="E193" s="149">
        <v>40323</v>
      </c>
      <c r="F193" s="146">
        <v>1</v>
      </c>
      <c r="G193" s="146">
        <v>824</v>
      </c>
      <c r="H193" s="152"/>
    </row>
    <row r="194" spans="1:8" hidden="1" x14ac:dyDescent="0.25">
      <c r="A194" s="145" t="s">
        <v>1442</v>
      </c>
      <c r="B194" s="145" t="s">
        <v>1459</v>
      </c>
      <c r="C194" s="145" t="s">
        <v>1441</v>
      </c>
      <c r="D194" s="145" t="s">
        <v>1455</v>
      </c>
      <c r="E194" s="149">
        <v>40697</v>
      </c>
      <c r="F194" s="146">
        <v>2</v>
      </c>
      <c r="G194" s="146">
        <v>1110</v>
      </c>
      <c r="H194" s="152"/>
    </row>
    <row r="195" spans="1:8" x14ac:dyDescent="0.25">
      <c r="A195" s="145" t="s">
        <v>1446</v>
      </c>
      <c r="B195" s="145" t="s">
        <v>1459</v>
      </c>
      <c r="C195" s="145" t="s">
        <v>1445</v>
      </c>
      <c r="D195" s="145" t="s">
        <v>1453</v>
      </c>
      <c r="E195" s="149">
        <v>40610</v>
      </c>
      <c r="F195" s="146">
        <v>2</v>
      </c>
      <c r="G195" s="146">
        <v>1158</v>
      </c>
      <c r="H195" s="152"/>
    </row>
    <row r="196" spans="1:8" hidden="1" x14ac:dyDescent="0.25">
      <c r="A196" s="145" t="s">
        <v>1454</v>
      </c>
      <c r="B196" s="145" t="s">
        <v>1459</v>
      </c>
      <c r="C196" s="145" t="s">
        <v>1441</v>
      </c>
      <c r="D196" s="145" t="s">
        <v>1453</v>
      </c>
      <c r="E196" s="149">
        <v>40670</v>
      </c>
      <c r="F196" s="146">
        <v>2</v>
      </c>
      <c r="G196" s="146">
        <v>708</v>
      </c>
      <c r="H196" s="152"/>
    </row>
    <row r="197" spans="1:8" hidden="1" x14ac:dyDescent="0.25">
      <c r="A197" s="145" t="s">
        <v>1448</v>
      </c>
      <c r="B197" s="145" t="s">
        <v>1459</v>
      </c>
      <c r="C197" s="145" t="s">
        <v>1439</v>
      </c>
      <c r="D197" s="145" t="s">
        <v>1453</v>
      </c>
      <c r="E197" s="149">
        <v>40247</v>
      </c>
      <c r="F197" s="146">
        <v>2</v>
      </c>
      <c r="G197" s="150">
        <v>1384</v>
      </c>
      <c r="H197" s="152"/>
    </row>
    <row r="198" spans="1:8" hidden="1" x14ac:dyDescent="0.25">
      <c r="A198" s="145" t="s">
        <v>1451</v>
      </c>
      <c r="B198" s="145" t="s">
        <v>1459</v>
      </c>
      <c r="C198" s="145" t="s">
        <v>1436</v>
      </c>
      <c r="D198" s="145" t="s">
        <v>1453</v>
      </c>
      <c r="E198" s="149">
        <v>40375</v>
      </c>
      <c r="F198" s="146">
        <v>2</v>
      </c>
      <c r="G198" s="146">
        <v>974</v>
      </c>
      <c r="H198" s="152"/>
    </row>
    <row r="199" spans="1:8" hidden="1" x14ac:dyDescent="0.25">
      <c r="A199" s="145" t="s">
        <v>1440</v>
      </c>
      <c r="B199" s="145" t="s">
        <v>1459</v>
      </c>
      <c r="C199" s="145" t="s">
        <v>1436</v>
      </c>
      <c r="D199" s="145" t="s">
        <v>1453</v>
      </c>
      <c r="E199" s="149">
        <v>40526</v>
      </c>
      <c r="F199" s="146">
        <v>2</v>
      </c>
      <c r="G199" s="146">
        <v>1540</v>
      </c>
      <c r="H199" s="152"/>
    </row>
    <row r="200" spans="1:8" hidden="1" x14ac:dyDescent="0.25">
      <c r="A200" s="145" t="s">
        <v>1454</v>
      </c>
      <c r="B200" s="145" t="s">
        <v>1459</v>
      </c>
      <c r="C200" s="145" t="s">
        <v>1445</v>
      </c>
      <c r="D200" s="145" t="s">
        <v>1452</v>
      </c>
      <c r="E200" s="149">
        <v>40228</v>
      </c>
      <c r="F200" s="146">
        <v>2</v>
      </c>
      <c r="G200" s="150">
        <v>1320</v>
      </c>
      <c r="H200" s="152"/>
    </row>
    <row r="201" spans="1:8" x14ac:dyDescent="0.25">
      <c r="A201" s="145" t="s">
        <v>1449</v>
      </c>
      <c r="B201" s="145" t="s">
        <v>1459</v>
      </c>
      <c r="C201" s="145" t="s">
        <v>1445</v>
      </c>
      <c r="D201" s="145" t="s">
        <v>1452</v>
      </c>
      <c r="E201" s="149">
        <v>40721</v>
      </c>
      <c r="F201" s="146">
        <v>2</v>
      </c>
      <c r="G201" s="146">
        <v>792</v>
      </c>
      <c r="H201" s="152"/>
    </row>
    <row r="202" spans="1:8" hidden="1" x14ac:dyDescent="0.25">
      <c r="A202" s="145" t="s">
        <v>1440</v>
      </c>
      <c r="B202" s="145" t="s">
        <v>1459</v>
      </c>
      <c r="C202" s="145" t="s">
        <v>1441</v>
      </c>
      <c r="D202" s="145" t="s">
        <v>1452</v>
      </c>
      <c r="E202" s="149">
        <v>40476</v>
      </c>
      <c r="F202" s="146">
        <v>2</v>
      </c>
      <c r="G202" s="146">
        <v>1474</v>
      </c>
      <c r="H202" s="152"/>
    </row>
    <row r="203" spans="1:8" hidden="1" x14ac:dyDescent="0.25">
      <c r="A203" s="145" t="s">
        <v>1442</v>
      </c>
      <c r="B203" s="145" t="s">
        <v>1459</v>
      </c>
      <c r="C203" s="145" t="s">
        <v>1441</v>
      </c>
      <c r="D203" s="145" t="s">
        <v>1452</v>
      </c>
      <c r="E203" s="149">
        <v>40738</v>
      </c>
      <c r="F203" s="146">
        <v>2</v>
      </c>
      <c r="G203" s="146">
        <v>848</v>
      </c>
      <c r="H203" s="152"/>
    </row>
    <row r="204" spans="1:8" hidden="1" x14ac:dyDescent="0.25">
      <c r="A204" s="145" t="s">
        <v>1442</v>
      </c>
      <c r="B204" s="145" t="s">
        <v>1459</v>
      </c>
      <c r="C204" s="145" t="s">
        <v>1439</v>
      </c>
      <c r="D204" s="145" t="s">
        <v>1452</v>
      </c>
      <c r="E204" s="149">
        <v>40330</v>
      </c>
      <c r="F204" s="146">
        <v>2</v>
      </c>
      <c r="G204" s="146">
        <v>1090</v>
      </c>
      <c r="H204" s="152"/>
    </row>
    <row r="205" spans="1:8" x14ac:dyDescent="0.25">
      <c r="A205" s="145" t="s">
        <v>1449</v>
      </c>
      <c r="B205" s="145" t="s">
        <v>1459</v>
      </c>
      <c r="C205" s="145" t="s">
        <v>1445</v>
      </c>
      <c r="D205" s="145" t="s">
        <v>1450</v>
      </c>
      <c r="E205" s="149">
        <v>40373</v>
      </c>
      <c r="F205" s="146">
        <v>2</v>
      </c>
      <c r="G205" s="146">
        <v>1286</v>
      </c>
      <c r="H205" s="152"/>
    </row>
    <row r="206" spans="1:8" hidden="1" x14ac:dyDescent="0.25">
      <c r="A206" s="145" t="s">
        <v>1444</v>
      </c>
      <c r="B206" s="145" t="s">
        <v>1459</v>
      </c>
      <c r="C206" s="145" t="s">
        <v>1439</v>
      </c>
      <c r="D206" s="145" t="s">
        <v>1450</v>
      </c>
      <c r="E206" s="149">
        <v>40557</v>
      </c>
      <c r="F206" s="146">
        <v>2</v>
      </c>
      <c r="G206" s="146">
        <v>1146</v>
      </c>
      <c r="H206" s="152"/>
    </row>
    <row r="207" spans="1:8" x14ac:dyDescent="0.25">
      <c r="A207" s="145" t="s">
        <v>1440</v>
      </c>
      <c r="B207" s="145" t="s">
        <v>1459</v>
      </c>
      <c r="C207" s="145" t="s">
        <v>1445</v>
      </c>
      <c r="D207" s="145" t="s">
        <v>1455</v>
      </c>
      <c r="E207" s="149">
        <v>40430</v>
      </c>
      <c r="F207" s="146">
        <v>3</v>
      </c>
      <c r="G207" s="146">
        <v>1557</v>
      </c>
      <c r="H207" s="152"/>
    </row>
    <row r="208" spans="1:8" x14ac:dyDescent="0.25">
      <c r="A208" s="145" t="s">
        <v>1449</v>
      </c>
      <c r="B208" s="145" t="s">
        <v>1459</v>
      </c>
      <c r="C208" s="145" t="s">
        <v>1445</v>
      </c>
      <c r="D208" s="145" t="s">
        <v>1453</v>
      </c>
      <c r="E208" s="149">
        <v>40536</v>
      </c>
      <c r="F208" s="146">
        <v>3</v>
      </c>
      <c r="G208" s="146">
        <v>2295</v>
      </c>
      <c r="H208" s="152"/>
    </row>
    <row r="209" spans="1:8" hidden="1" x14ac:dyDescent="0.25">
      <c r="A209" s="145" t="s">
        <v>1444</v>
      </c>
      <c r="B209" s="145" t="s">
        <v>1459</v>
      </c>
      <c r="C209" s="145" t="s">
        <v>1439</v>
      </c>
      <c r="D209" s="145" t="s">
        <v>1452</v>
      </c>
      <c r="E209" s="149">
        <v>40273</v>
      </c>
      <c r="F209" s="146">
        <v>3</v>
      </c>
      <c r="G209" s="146">
        <v>1254</v>
      </c>
      <c r="H209" s="152"/>
    </row>
    <row r="210" spans="1:8" hidden="1" x14ac:dyDescent="0.25">
      <c r="A210" s="145" t="s">
        <v>1449</v>
      </c>
      <c r="B210" s="145" t="s">
        <v>1459</v>
      </c>
      <c r="C210" s="145" t="s">
        <v>1439</v>
      </c>
      <c r="D210" s="145" t="s">
        <v>1452</v>
      </c>
      <c r="E210" s="149">
        <v>40768</v>
      </c>
      <c r="F210" s="146">
        <v>3</v>
      </c>
      <c r="G210" s="146">
        <v>1401</v>
      </c>
      <c r="H210" s="152"/>
    </row>
    <row r="211" spans="1:8" hidden="1" x14ac:dyDescent="0.25">
      <c r="A211" s="145" t="s">
        <v>1438</v>
      </c>
      <c r="B211" s="145" t="s">
        <v>1459</v>
      </c>
      <c r="C211" s="145" t="s">
        <v>1436</v>
      </c>
      <c r="D211" s="145" t="s">
        <v>1452</v>
      </c>
      <c r="E211" s="149">
        <v>40215</v>
      </c>
      <c r="F211" s="146">
        <v>3</v>
      </c>
      <c r="G211" s="150">
        <v>2448</v>
      </c>
      <c r="H211" s="152"/>
    </row>
    <row r="212" spans="1:8" hidden="1" x14ac:dyDescent="0.25">
      <c r="A212" s="145" t="s">
        <v>1438</v>
      </c>
      <c r="B212" s="145" t="s">
        <v>1459</v>
      </c>
      <c r="C212" s="145" t="s">
        <v>1436</v>
      </c>
      <c r="D212" s="145" t="s">
        <v>1452</v>
      </c>
      <c r="E212" s="149">
        <v>40813</v>
      </c>
      <c r="F212" s="146">
        <v>3</v>
      </c>
      <c r="G212" s="146">
        <v>1995</v>
      </c>
      <c r="H212" s="152"/>
    </row>
    <row r="213" spans="1:8" hidden="1" x14ac:dyDescent="0.25">
      <c r="A213" s="145" t="s">
        <v>1446</v>
      </c>
      <c r="B213" s="145" t="s">
        <v>1459</v>
      </c>
      <c r="C213" s="145" t="s">
        <v>1441</v>
      </c>
      <c r="D213" s="145" t="s">
        <v>1450</v>
      </c>
      <c r="E213" s="149">
        <v>40596</v>
      </c>
      <c r="F213" s="146">
        <v>3</v>
      </c>
      <c r="G213" s="146">
        <v>1560</v>
      </c>
      <c r="H213" s="152"/>
    </row>
    <row r="214" spans="1:8" hidden="1" x14ac:dyDescent="0.25">
      <c r="A214" s="145" t="s">
        <v>1448</v>
      </c>
      <c r="B214" s="145" t="s">
        <v>1459</v>
      </c>
      <c r="C214" s="145" t="s">
        <v>1439</v>
      </c>
      <c r="D214" s="145" t="s">
        <v>1455</v>
      </c>
      <c r="E214" s="149">
        <v>40826</v>
      </c>
      <c r="F214" s="146">
        <v>4</v>
      </c>
      <c r="G214" s="146">
        <v>2564</v>
      </c>
      <c r="H214" s="152"/>
    </row>
    <row r="215" spans="1:8" x14ac:dyDescent="0.25">
      <c r="A215" s="145" t="s">
        <v>1442</v>
      </c>
      <c r="B215" s="145" t="s">
        <v>1459</v>
      </c>
      <c r="C215" s="145" t="s">
        <v>1445</v>
      </c>
      <c r="D215" s="145" t="s">
        <v>1453</v>
      </c>
      <c r="E215" s="149">
        <v>40632</v>
      </c>
      <c r="F215" s="146">
        <v>4</v>
      </c>
      <c r="G215" s="146">
        <v>2392</v>
      </c>
      <c r="H215" s="152"/>
    </row>
    <row r="216" spans="1:8" hidden="1" x14ac:dyDescent="0.25">
      <c r="A216" s="145" t="s">
        <v>1442</v>
      </c>
      <c r="B216" s="145" t="s">
        <v>1459</v>
      </c>
      <c r="C216" s="145" t="s">
        <v>1439</v>
      </c>
      <c r="D216" s="145" t="s">
        <v>1453</v>
      </c>
      <c r="E216" s="149">
        <v>40542</v>
      </c>
      <c r="F216" s="146">
        <v>4</v>
      </c>
      <c r="G216" s="146">
        <v>2836</v>
      </c>
      <c r="H216" s="152"/>
    </row>
    <row r="217" spans="1:8" hidden="1" x14ac:dyDescent="0.25">
      <c r="A217" s="145" t="s">
        <v>1449</v>
      </c>
      <c r="B217" s="145" t="s">
        <v>1459</v>
      </c>
      <c r="C217" s="145" t="s">
        <v>1436</v>
      </c>
      <c r="D217" s="145" t="s">
        <v>1453</v>
      </c>
      <c r="E217" s="149">
        <v>40627</v>
      </c>
      <c r="F217" s="146">
        <v>4</v>
      </c>
      <c r="G217" s="146">
        <v>3544</v>
      </c>
      <c r="H217" s="152"/>
    </row>
    <row r="218" spans="1:8" hidden="1" x14ac:dyDescent="0.25">
      <c r="A218" s="145" t="s">
        <v>1449</v>
      </c>
      <c r="B218" s="145" t="s">
        <v>1459</v>
      </c>
      <c r="C218" s="145" t="s">
        <v>1439</v>
      </c>
      <c r="D218" s="145" t="s">
        <v>1452</v>
      </c>
      <c r="E218" s="149">
        <v>40639</v>
      </c>
      <c r="F218" s="146">
        <v>4</v>
      </c>
      <c r="G218" s="146">
        <v>1968</v>
      </c>
      <c r="H218" s="152"/>
    </row>
    <row r="219" spans="1:8" hidden="1" x14ac:dyDescent="0.25">
      <c r="A219" s="145" t="s">
        <v>1456</v>
      </c>
      <c r="B219" s="145" t="s">
        <v>1459</v>
      </c>
      <c r="C219" s="145" t="s">
        <v>1439</v>
      </c>
      <c r="D219" s="145" t="s">
        <v>1452</v>
      </c>
      <c r="E219" s="149">
        <v>40642</v>
      </c>
      <c r="F219" s="146">
        <v>4</v>
      </c>
      <c r="G219" s="146">
        <v>1916</v>
      </c>
      <c r="H219" s="152"/>
    </row>
    <row r="220" spans="1:8" x14ac:dyDescent="0.25">
      <c r="A220" s="145" t="s">
        <v>1447</v>
      </c>
      <c r="B220" s="145" t="s">
        <v>1459</v>
      </c>
      <c r="C220" s="145" t="s">
        <v>1445</v>
      </c>
      <c r="D220" s="145" t="s">
        <v>1450</v>
      </c>
      <c r="E220" s="149">
        <v>40354</v>
      </c>
      <c r="F220" s="146">
        <v>4</v>
      </c>
      <c r="G220" s="146">
        <v>2180</v>
      </c>
      <c r="H220" s="152"/>
    </row>
    <row r="221" spans="1:8" x14ac:dyDescent="0.25">
      <c r="A221" s="145" t="s">
        <v>1449</v>
      </c>
      <c r="B221" s="145" t="s">
        <v>1459</v>
      </c>
      <c r="C221" s="145" t="s">
        <v>1445</v>
      </c>
      <c r="D221" s="145" t="s">
        <v>1450</v>
      </c>
      <c r="E221" s="149">
        <v>40491</v>
      </c>
      <c r="F221" s="146">
        <v>4</v>
      </c>
      <c r="G221" s="146">
        <v>1448</v>
      </c>
      <c r="H221" s="152"/>
    </row>
    <row r="222" spans="1:8" hidden="1" x14ac:dyDescent="0.25">
      <c r="A222" s="145" t="s">
        <v>1451</v>
      </c>
      <c r="B222" s="145" t="s">
        <v>1459</v>
      </c>
      <c r="C222" s="145" t="s">
        <v>1441</v>
      </c>
      <c r="D222" s="145" t="s">
        <v>1450</v>
      </c>
      <c r="E222" s="149">
        <v>40614</v>
      </c>
      <c r="F222" s="146">
        <v>4</v>
      </c>
      <c r="G222" s="146">
        <v>1932</v>
      </c>
      <c r="H222" s="152"/>
    </row>
    <row r="223" spans="1:8" hidden="1" x14ac:dyDescent="0.25">
      <c r="A223" s="145" t="s">
        <v>1454</v>
      </c>
      <c r="B223" s="145" t="s">
        <v>1459</v>
      </c>
      <c r="C223" s="145" t="s">
        <v>1436</v>
      </c>
      <c r="D223" s="145" t="s">
        <v>1453</v>
      </c>
      <c r="E223" s="149">
        <v>40473</v>
      </c>
      <c r="F223" s="146">
        <v>5</v>
      </c>
      <c r="G223" s="146">
        <v>2265</v>
      </c>
      <c r="H223" s="152"/>
    </row>
    <row r="224" spans="1:8" hidden="1" x14ac:dyDescent="0.25">
      <c r="A224" s="145" t="s">
        <v>1456</v>
      </c>
      <c r="B224" s="145" t="s">
        <v>1459</v>
      </c>
      <c r="C224" s="145" t="s">
        <v>1436</v>
      </c>
      <c r="D224" s="145" t="s">
        <v>1453</v>
      </c>
      <c r="E224" s="149">
        <v>40687</v>
      </c>
      <c r="F224" s="146">
        <v>5</v>
      </c>
      <c r="G224" s="146">
        <v>3690</v>
      </c>
      <c r="H224" s="152"/>
    </row>
    <row r="225" spans="1:8" hidden="1" x14ac:dyDescent="0.25">
      <c r="A225" s="145" t="s">
        <v>1440</v>
      </c>
      <c r="B225" s="145" t="s">
        <v>1459</v>
      </c>
      <c r="C225" s="145" t="s">
        <v>1441</v>
      </c>
      <c r="D225" s="145" t="s">
        <v>1452</v>
      </c>
      <c r="E225" s="149">
        <v>40313</v>
      </c>
      <c r="F225" s="146">
        <v>5</v>
      </c>
      <c r="G225" s="146">
        <v>3020</v>
      </c>
      <c r="H225" s="152"/>
    </row>
    <row r="226" spans="1:8" hidden="1" x14ac:dyDescent="0.25">
      <c r="A226" s="145" t="s">
        <v>1440</v>
      </c>
      <c r="B226" s="145" t="s">
        <v>1459</v>
      </c>
      <c r="C226" s="145" t="s">
        <v>1439</v>
      </c>
      <c r="D226" s="145" t="s">
        <v>1452</v>
      </c>
      <c r="E226" s="149">
        <v>40719</v>
      </c>
      <c r="F226" s="146">
        <v>5</v>
      </c>
      <c r="G226" s="146">
        <v>2925</v>
      </c>
      <c r="H226" s="152"/>
    </row>
    <row r="227" spans="1:8" x14ac:dyDescent="0.25">
      <c r="A227" s="145" t="s">
        <v>1449</v>
      </c>
      <c r="B227" s="145" t="s">
        <v>1459</v>
      </c>
      <c r="C227" s="145" t="s">
        <v>1445</v>
      </c>
      <c r="D227" s="145" t="s">
        <v>1450</v>
      </c>
      <c r="E227" s="149">
        <v>40271</v>
      </c>
      <c r="F227" s="146">
        <v>5</v>
      </c>
      <c r="G227" s="146">
        <v>3910</v>
      </c>
      <c r="H227" s="152"/>
    </row>
    <row r="228" spans="1:8" hidden="1" x14ac:dyDescent="0.25">
      <c r="A228" s="145" t="s">
        <v>1442</v>
      </c>
      <c r="B228" s="145" t="s">
        <v>1459</v>
      </c>
      <c r="C228" s="145" t="s">
        <v>1436</v>
      </c>
      <c r="D228" s="145" t="s">
        <v>1450</v>
      </c>
      <c r="E228" s="149">
        <v>40476</v>
      </c>
      <c r="F228" s="146">
        <v>5</v>
      </c>
      <c r="G228" s="146">
        <v>3555</v>
      </c>
      <c r="H228" s="152"/>
    </row>
    <row r="229" spans="1:8" hidden="1" x14ac:dyDescent="0.25">
      <c r="A229" s="145" t="s">
        <v>1444</v>
      </c>
      <c r="B229" s="145" t="s">
        <v>1459</v>
      </c>
      <c r="C229" s="145" t="s">
        <v>1436</v>
      </c>
      <c r="D229" s="145" t="s">
        <v>1450</v>
      </c>
      <c r="E229" s="149">
        <v>40478</v>
      </c>
      <c r="F229" s="146">
        <v>5</v>
      </c>
      <c r="G229" s="146">
        <v>1880</v>
      </c>
      <c r="H229" s="152"/>
    </row>
    <row r="230" spans="1:8" hidden="1" x14ac:dyDescent="0.25">
      <c r="A230" s="145" t="s">
        <v>1446</v>
      </c>
      <c r="B230" s="145" t="s">
        <v>1459</v>
      </c>
      <c r="C230" s="145" t="s">
        <v>1439</v>
      </c>
      <c r="D230" s="145" t="s">
        <v>1455</v>
      </c>
      <c r="E230" s="149">
        <v>40341</v>
      </c>
      <c r="F230" s="146">
        <v>6</v>
      </c>
      <c r="G230" s="146">
        <v>2610</v>
      </c>
      <c r="H230" s="152"/>
    </row>
    <row r="231" spans="1:8" hidden="1" x14ac:dyDescent="0.25">
      <c r="A231" s="145" t="s">
        <v>1442</v>
      </c>
      <c r="B231" s="145" t="s">
        <v>1459</v>
      </c>
      <c r="C231" s="145" t="s">
        <v>1439</v>
      </c>
      <c r="D231" s="145" t="s">
        <v>1455</v>
      </c>
      <c r="E231" s="149">
        <v>40372</v>
      </c>
      <c r="F231" s="146">
        <v>6</v>
      </c>
      <c r="G231" s="146">
        <v>2334</v>
      </c>
      <c r="H231" s="152"/>
    </row>
    <row r="232" spans="1:8" hidden="1" x14ac:dyDescent="0.25">
      <c r="A232" s="145" t="s">
        <v>1440</v>
      </c>
      <c r="B232" s="145" t="s">
        <v>1459</v>
      </c>
      <c r="C232" s="145" t="s">
        <v>1436</v>
      </c>
      <c r="D232" s="145" t="s">
        <v>1455</v>
      </c>
      <c r="E232" s="149">
        <v>40470</v>
      </c>
      <c r="F232" s="146">
        <v>6</v>
      </c>
      <c r="G232" s="146">
        <v>5310</v>
      </c>
      <c r="H232" s="152"/>
    </row>
    <row r="233" spans="1:8" x14ac:dyDescent="0.25">
      <c r="A233" s="145" t="s">
        <v>1447</v>
      </c>
      <c r="B233" s="145" t="s">
        <v>1459</v>
      </c>
      <c r="C233" s="145" t="s">
        <v>1445</v>
      </c>
      <c r="D233" s="145" t="s">
        <v>1435</v>
      </c>
      <c r="E233" s="149">
        <v>40312</v>
      </c>
      <c r="F233" s="146">
        <v>6</v>
      </c>
      <c r="G233" s="146">
        <v>3666</v>
      </c>
      <c r="H233" s="152"/>
    </row>
    <row r="234" spans="1:8" hidden="1" x14ac:dyDescent="0.25">
      <c r="A234" s="145" t="s">
        <v>1454</v>
      </c>
      <c r="B234" s="145" t="s">
        <v>1459</v>
      </c>
      <c r="C234" s="145" t="s">
        <v>1441</v>
      </c>
      <c r="D234" s="145" t="s">
        <v>1435</v>
      </c>
      <c r="E234" s="149">
        <v>40730</v>
      </c>
      <c r="F234" s="146">
        <v>6</v>
      </c>
      <c r="G234" s="146">
        <v>4680</v>
      </c>
      <c r="H234" s="152"/>
    </row>
    <row r="235" spans="1:8" x14ac:dyDescent="0.25">
      <c r="A235" s="145" t="s">
        <v>1456</v>
      </c>
      <c r="B235" s="145" t="s">
        <v>1459</v>
      </c>
      <c r="C235" s="145" t="s">
        <v>1445</v>
      </c>
      <c r="D235" s="145" t="s">
        <v>1453</v>
      </c>
      <c r="E235" s="149">
        <v>40596</v>
      </c>
      <c r="F235" s="146">
        <v>6</v>
      </c>
      <c r="G235" s="146">
        <v>3612</v>
      </c>
      <c r="H235" s="152"/>
    </row>
    <row r="236" spans="1:8" hidden="1" x14ac:dyDescent="0.25">
      <c r="A236" s="145" t="s">
        <v>1440</v>
      </c>
      <c r="B236" s="145" t="s">
        <v>1459</v>
      </c>
      <c r="C236" s="145" t="s">
        <v>1439</v>
      </c>
      <c r="D236" s="145" t="s">
        <v>1453</v>
      </c>
      <c r="E236" s="149">
        <v>40628</v>
      </c>
      <c r="F236" s="146">
        <v>6</v>
      </c>
      <c r="G236" s="146">
        <v>3948</v>
      </c>
      <c r="H236" s="152"/>
    </row>
    <row r="237" spans="1:8" hidden="1" x14ac:dyDescent="0.25">
      <c r="A237" s="145" t="s">
        <v>1454</v>
      </c>
      <c r="B237" s="145" t="s">
        <v>1459</v>
      </c>
      <c r="C237" s="145" t="s">
        <v>1439</v>
      </c>
      <c r="D237" s="145" t="s">
        <v>1453</v>
      </c>
      <c r="E237" s="149">
        <v>40851</v>
      </c>
      <c r="F237" s="146">
        <v>6</v>
      </c>
      <c r="G237" s="146">
        <v>5376</v>
      </c>
      <c r="H237" s="152"/>
    </row>
    <row r="238" spans="1:8" hidden="1" x14ac:dyDescent="0.25">
      <c r="A238" s="145" t="s">
        <v>1449</v>
      </c>
      <c r="B238" s="145" t="s">
        <v>1459</v>
      </c>
      <c r="C238" s="145" t="s">
        <v>1436</v>
      </c>
      <c r="D238" s="145" t="s">
        <v>1452</v>
      </c>
      <c r="E238" s="149">
        <v>40207</v>
      </c>
      <c r="F238" s="146">
        <v>6</v>
      </c>
      <c r="G238" s="150">
        <v>4086</v>
      </c>
      <c r="H238" s="152"/>
    </row>
    <row r="239" spans="1:8" hidden="1" x14ac:dyDescent="0.25">
      <c r="A239" s="145" t="s">
        <v>1446</v>
      </c>
      <c r="B239" s="145" t="s">
        <v>1459</v>
      </c>
      <c r="C239" s="145" t="s">
        <v>1436</v>
      </c>
      <c r="D239" s="145" t="s">
        <v>1452</v>
      </c>
      <c r="E239" s="149">
        <v>40731</v>
      </c>
      <c r="F239" s="146">
        <v>6</v>
      </c>
      <c r="G239" s="146">
        <v>5388</v>
      </c>
      <c r="H239" s="152"/>
    </row>
    <row r="240" spans="1:8" x14ac:dyDescent="0.25">
      <c r="A240" s="145" t="s">
        <v>1443</v>
      </c>
      <c r="B240" s="145" t="s">
        <v>1459</v>
      </c>
      <c r="C240" s="145" t="s">
        <v>1445</v>
      </c>
      <c r="D240" s="145" t="s">
        <v>1450</v>
      </c>
      <c r="E240" s="149">
        <v>40484</v>
      </c>
      <c r="F240" s="146">
        <v>6</v>
      </c>
      <c r="G240" s="146">
        <v>3564</v>
      </c>
      <c r="H240" s="152"/>
    </row>
    <row r="241" spans="1:8" hidden="1" x14ac:dyDescent="0.25">
      <c r="A241" s="145" t="s">
        <v>1449</v>
      </c>
      <c r="B241" s="145" t="s">
        <v>1459</v>
      </c>
      <c r="C241" s="145" t="s">
        <v>1441</v>
      </c>
      <c r="D241" s="145" t="s">
        <v>1450</v>
      </c>
      <c r="E241" s="149">
        <v>40246</v>
      </c>
      <c r="F241" s="146">
        <v>6</v>
      </c>
      <c r="G241" s="150">
        <v>3174</v>
      </c>
      <c r="H241" s="152"/>
    </row>
    <row r="242" spans="1:8" hidden="1" x14ac:dyDescent="0.25">
      <c r="A242" s="145" t="s">
        <v>1456</v>
      </c>
      <c r="B242" s="145" t="s">
        <v>1459</v>
      </c>
      <c r="C242" s="145" t="s">
        <v>1439</v>
      </c>
      <c r="D242" s="145" t="s">
        <v>1450</v>
      </c>
      <c r="E242" s="149">
        <v>40746</v>
      </c>
      <c r="F242" s="146">
        <v>6</v>
      </c>
      <c r="G242" s="146">
        <v>5028</v>
      </c>
      <c r="H242" s="152"/>
    </row>
    <row r="243" spans="1:8" x14ac:dyDescent="0.25">
      <c r="A243" s="145" t="s">
        <v>1442</v>
      </c>
      <c r="B243" s="145" t="s">
        <v>1459</v>
      </c>
      <c r="C243" s="145" t="s">
        <v>1445</v>
      </c>
      <c r="D243" s="145" t="s">
        <v>1455</v>
      </c>
      <c r="E243" s="149">
        <v>40712</v>
      </c>
      <c r="F243" s="146">
        <v>7</v>
      </c>
      <c r="G243" s="146">
        <v>3395</v>
      </c>
      <c r="H243" s="152"/>
    </row>
    <row r="244" spans="1:8" hidden="1" x14ac:dyDescent="0.25">
      <c r="A244" s="145" t="s">
        <v>1448</v>
      </c>
      <c r="B244" s="145" t="s">
        <v>1459</v>
      </c>
      <c r="C244" s="145" t="s">
        <v>1441</v>
      </c>
      <c r="D244" s="145" t="s">
        <v>1435</v>
      </c>
      <c r="E244" s="149">
        <v>40190</v>
      </c>
      <c r="F244" s="146">
        <v>7</v>
      </c>
      <c r="G244" s="146">
        <v>2751</v>
      </c>
      <c r="H244" s="152"/>
    </row>
    <row r="245" spans="1:8" hidden="1" x14ac:dyDescent="0.25">
      <c r="A245" s="145" t="s">
        <v>1443</v>
      </c>
      <c r="B245" s="145" t="s">
        <v>1459</v>
      </c>
      <c r="C245" s="145" t="s">
        <v>1439</v>
      </c>
      <c r="D245" s="145" t="s">
        <v>1435</v>
      </c>
      <c r="E245" s="149">
        <v>40212</v>
      </c>
      <c r="F245" s="146">
        <v>7</v>
      </c>
      <c r="G245" s="146">
        <v>2849</v>
      </c>
      <c r="H245" s="152"/>
    </row>
    <row r="246" spans="1:8" x14ac:dyDescent="0.25">
      <c r="A246" s="145" t="s">
        <v>1442</v>
      </c>
      <c r="B246" s="145" t="s">
        <v>1459</v>
      </c>
      <c r="C246" s="145" t="s">
        <v>1445</v>
      </c>
      <c r="D246" s="145" t="s">
        <v>1453</v>
      </c>
      <c r="E246" s="149">
        <v>40549</v>
      </c>
      <c r="F246" s="146">
        <v>7</v>
      </c>
      <c r="G246" s="146">
        <v>5999</v>
      </c>
      <c r="H246" s="152"/>
    </row>
    <row r="247" spans="1:8" x14ac:dyDescent="0.25">
      <c r="A247" s="145" t="s">
        <v>1443</v>
      </c>
      <c r="B247" s="145" t="s">
        <v>1459</v>
      </c>
      <c r="C247" s="145" t="s">
        <v>1445</v>
      </c>
      <c r="D247" s="145" t="s">
        <v>1453</v>
      </c>
      <c r="E247" s="149">
        <v>40582</v>
      </c>
      <c r="F247" s="146">
        <v>7</v>
      </c>
      <c r="G247" s="146">
        <v>2716</v>
      </c>
      <c r="H247" s="152"/>
    </row>
    <row r="248" spans="1:8" hidden="1" x14ac:dyDescent="0.25">
      <c r="A248" s="145" t="s">
        <v>1449</v>
      </c>
      <c r="B248" s="145" t="s">
        <v>1459</v>
      </c>
      <c r="C248" s="145" t="s">
        <v>1439</v>
      </c>
      <c r="D248" s="145" t="s">
        <v>1452</v>
      </c>
      <c r="E248" s="149">
        <v>40728</v>
      </c>
      <c r="F248" s="146">
        <v>7</v>
      </c>
      <c r="G248" s="146">
        <v>3101</v>
      </c>
      <c r="H248" s="152"/>
    </row>
    <row r="249" spans="1:8" hidden="1" x14ac:dyDescent="0.25">
      <c r="A249" s="145" t="s">
        <v>1442</v>
      </c>
      <c r="B249" s="145" t="s">
        <v>1459</v>
      </c>
      <c r="C249" s="145" t="s">
        <v>1439</v>
      </c>
      <c r="D249" s="145" t="s">
        <v>1452</v>
      </c>
      <c r="E249" s="149">
        <v>40866</v>
      </c>
      <c r="F249" s="146">
        <v>7</v>
      </c>
      <c r="G249" s="146">
        <v>5082</v>
      </c>
      <c r="H249" s="152"/>
    </row>
    <row r="250" spans="1:8" x14ac:dyDescent="0.25">
      <c r="A250" s="145" t="s">
        <v>1449</v>
      </c>
      <c r="B250" s="145" t="s">
        <v>1459</v>
      </c>
      <c r="C250" s="145" t="s">
        <v>1445</v>
      </c>
      <c r="D250" s="145" t="s">
        <v>1450</v>
      </c>
      <c r="E250" s="149">
        <v>40765</v>
      </c>
      <c r="F250" s="146">
        <v>7</v>
      </c>
      <c r="G250" s="146">
        <v>4277</v>
      </c>
      <c r="H250" s="152"/>
    </row>
    <row r="251" spans="1:8" hidden="1" x14ac:dyDescent="0.25">
      <c r="A251" s="145" t="s">
        <v>1449</v>
      </c>
      <c r="B251" s="145" t="s">
        <v>1459</v>
      </c>
      <c r="C251" s="145" t="s">
        <v>1441</v>
      </c>
      <c r="D251" s="145" t="s">
        <v>1450</v>
      </c>
      <c r="E251" s="149">
        <v>40789</v>
      </c>
      <c r="F251" s="146">
        <v>7</v>
      </c>
      <c r="G251" s="146">
        <v>3304</v>
      </c>
      <c r="H251" s="152"/>
    </row>
    <row r="252" spans="1:8" hidden="1" x14ac:dyDescent="0.25">
      <c r="A252" s="145" t="s">
        <v>1443</v>
      </c>
      <c r="B252" s="145" t="s">
        <v>1459</v>
      </c>
      <c r="C252" s="145" t="s">
        <v>1439</v>
      </c>
      <c r="D252" s="145" t="s">
        <v>1450</v>
      </c>
      <c r="E252" s="149">
        <v>40782</v>
      </c>
      <c r="F252" s="146">
        <v>7</v>
      </c>
      <c r="G252" s="146">
        <v>2947</v>
      </c>
      <c r="H252" s="152"/>
    </row>
    <row r="253" spans="1:8" hidden="1" x14ac:dyDescent="0.25">
      <c r="A253" s="145" t="s">
        <v>1451</v>
      </c>
      <c r="B253" s="145" t="s">
        <v>1459</v>
      </c>
      <c r="C253" s="145" t="s">
        <v>1436</v>
      </c>
      <c r="D253" s="145" t="s">
        <v>1450</v>
      </c>
      <c r="E253" s="149">
        <v>40456</v>
      </c>
      <c r="F253" s="146">
        <v>7</v>
      </c>
      <c r="G253" s="146">
        <v>2919</v>
      </c>
      <c r="H253" s="152"/>
    </row>
    <row r="254" spans="1:8" hidden="1" x14ac:dyDescent="0.25">
      <c r="A254" s="145" t="s">
        <v>1443</v>
      </c>
      <c r="B254" s="145" t="s">
        <v>1459</v>
      </c>
      <c r="C254" s="145" t="s">
        <v>1441</v>
      </c>
      <c r="D254" s="145" t="s">
        <v>1455</v>
      </c>
      <c r="E254" s="149">
        <v>40290</v>
      </c>
      <c r="F254" s="146">
        <v>8</v>
      </c>
      <c r="G254" s="146">
        <v>5088</v>
      </c>
      <c r="H254" s="152"/>
    </row>
    <row r="255" spans="1:8" hidden="1" x14ac:dyDescent="0.25">
      <c r="A255" s="145" t="s">
        <v>1440</v>
      </c>
      <c r="B255" s="145" t="s">
        <v>1459</v>
      </c>
      <c r="C255" s="145" t="s">
        <v>1441</v>
      </c>
      <c r="D255" s="145" t="s">
        <v>1455</v>
      </c>
      <c r="E255" s="149">
        <v>40435</v>
      </c>
      <c r="F255" s="146">
        <v>8</v>
      </c>
      <c r="G255" s="146">
        <v>3288</v>
      </c>
      <c r="H255" s="152"/>
    </row>
    <row r="256" spans="1:8" hidden="1" x14ac:dyDescent="0.25">
      <c r="A256" s="145" t="s">
        <v>1449</v>
      </c>
      <c r="B256" s="145" t="s">
        <v>1459</v>
      </c>
      <c r="C256" s="145" t="s">
        <v>1439</v>
      </c>
      <c r="D256" s="145" t="s">
        <v>1455</v>
      </c>
      <c r="E256" s="149">
        <v>40296</v>
      </c>
      <c r="F256" s="146">
        <v>8</v>
      </c>
      <c r="G256" s="146">
        <v>3592</v>
      </c>
      <c r="H256" s="152"/>
    </row>
    <row r="257" spans="1:8" x14ac:dyDescent="0.25">
      <c r="A257" s="145" t="s">
        <v>1449</v>
      </c>
      <c r="B257" s="145" t="s">
        <v>1459</v>
      </c>
      <c r="C257" s="145" t="s">
        <v>1445</v>
      </c>
      <c r="D257" s="145" t="s">
        <v>1435</v>
      </c>
      <c r="E257" s="149">
        <v>40501</v>
      </c>
      <c r="F257" s="146">
        <v>8</v>
      </c>
      <c r="G257" s="146">
        <v>3568</v>
      </c>
      <c r="H257" s="152"/>
    </row>
    <row r="258" spans="1:8" x14ac:dyDescent="0.25">
      <c r="A258" s="145" t="s">
        <v>1451</v>
      </c>
      <c r="B258" s="145" t="s">
        <v>1459</v>
      </c>
      <c r="C258" s="145" t="s">
        <v>1445</v>
      </c>
      <c r="D258" s="145" t="s">
        <v>1435</v>
      </c>
      <c r="E258" s="149">
        <v>40703</v>
      </c>
      <c r="F258" s="146">
        <v>8</v>
      </c>
      <c r="G258" s="146">
        <v>7120</v>
      </c>
      <c r="H258" s="152"/>
    </row>
    <row r="259" spans="1:8" hidden="1" x14ac:dyDescent="0.25">
      <c r="A259" s="145" t="s">
        <v>1456</v>
      </c>
      <c r="B259" s="145" t="s">
        <v>1459</v>
      </c>
      <c r="C259" s="145" t="s">
        <v>1441</v>
      </c>
      <c r="D259" s="145" t="s">
        <v>1435</v>
      </c>
      <c r="E259" s="149">
        <v>40891</v>
      </c>
      <c r="F259" s="146">
        <v>8</v>
      </c>
      <c r="G259" s="146">
        <v>4824</v>
      </c>
      <c r="H259" s="152"/>
    </row>
    <row r="260" spans="1:8" hidden="1" x14ac:dyDescent="0.25">
      <c r="A260" s="145" t="s">
        <v>1448</v>
      </c>
      <c r="B260" s="145" t="s">
        <v>1459</v>
      </c>
      <c r="C260" s="145" t="s">
        <v>1441</v>
      </c>
      <c r="D260" s="145" t="s">
        <v>1453</v>
      </c>
      <c r="E260" s="149">
        <v>40679</v>
      </c>
      <c r="F260" s="146">
        <v>8</v>
      </c>
      <c r="G260" s="146">
        <v>3080</v>
      </c>
      <c r="H260" s="152"/>
    </row>
    <row r="261" spans="1:8" hidden="1" x14ac:dyDescent="0.25">
      <c r="A261" s="145" t="s">
        <v>1438</v>
      </c>
      <c r="B261" s="145" t="s">
        <v>1459</v>
      </c>
      <c r="C261" s="145" t="s">
        <v>1441</v>
      </c>
      <c r="D261" s="145" t="s">
        <v>1453</v>
      </c>
      <c r="E261" s="149">
        <v>40831</v>
      </c>
      <c r="F261" s="146">
        <v>8</v>
      </c>
      <c r="G261" s="146">
        <v>3392</v>
      </c>
      <c r="H261" s="152"/>
    </row>
    <row r="262" spans="1:8" hidden="1" x14ac:dyDescent="0.25">
      <c r="A262" s="145" t="s">
        <v>1448</v>
      </c>
      <c r="B262" s="145" t="s">
        <v>1459</v>
      </c>
      <c r="C262" s="145" t="s">
        <v>1441</v>
      </c>
      <c r="D262" s="145" t="s">
        <v>1452</v>
      </c>
      <c r="E262" s="149">
        <v>40756</v>
      </c>
      <c r="F262" s="146">
        <v>8</v>
      </c>
      <c r="G262" s="146">
        <v>6800</v>
      </c>
      <c r="H262" s="152"/>
    </row>
    <row r="263" spans="1:8" hidden="1" x14ac:dyDescent="0.25">
      <c r="A263" s="145" t="s">
        <v>1448</v>
      </c>
      <c r="B263" s="145" t="s">
        <v>1459</v>
      </c>
      <c r="C263" s="145" t="s">
        <v>1439</v>
      </c>
      <c r="D263" s="145" t="s">
        <v>1452</v>
      </c>
      <c r="E263" s="149">
        <v>40206</v>
      </c>
      <c r="F263" s="146">
        <v>8</v>
      </c>
      <c r="G263" s="150">
        <v>4096</v>
      </c>
      <c r="H263" s="152"/>
    </row>
    <row r="264" spans="1:8" hidden="1" x14ac:dyDescent="0.25">
      <c r="A264" s="145" t="s">
        <v>1442</v>
      </c>
      <c r="B264" s="145" t="s">
        <v>1459</v>
      </c>
      <c r="C264" s="145" t="s">
        <v>1436</v>
      </c>
      <c r="D264" s="145" t="s">
        <v>1452</v>
      </c>
      <c r="E264" s="149">
        <v>40680</v>
      </c>
      <c r="F264" s="146">
        <v>8</v>
      </c>
      <c r="G264" s="146">
        <v>3544</v>
      </c>
      <c r="H264" s="152"/>
    </row>
    <row r="265" spans="1:8" x14ac:dyDescent="0.25">
      <c r="A265" s="145" t="s">
        <v>1444</v>
      </c>
      <c r="B265" s="145" t="s">
        <v>1459</v>
      </c>
      <c r="C265" s="145" t="s">
        <v>1445</v>
      </c>
      <c r="D265" s="145" t="s">
        <v>1450</v>
      </c>
      <c r="E265" s="149">
        <v>40351</v>
      </c>
      <c r="F265" s="146">
        <v>8</v>
      </c>
      <c r="G265" s="146">
        <v>4080</v>
      </c>
      <c r="H265" s="152"/>
    </row>
    <row r="266" spans="1:8" hidden="1" x14ac:dyDescent="0.25">
      <c r="A266" s="145" t="s">
        <v>1443</v>
      </c>
      <c r="B266" s="145" t="s">
        <v>1459</v>
      </c>
      <c r="C266" s="145" t="s">
        <v>1441</v>
      </c>
      <c r="D266" s="145" t="s">
        <v>1450</v>
      </c>
      <c r="E266" s="149">
        <v>40541</v>
      </c>
      <c r="F266" s="146">
        <v>8</v>
      </c>
      <c r="G266" s="146">
        <v>6872</v>
      </c>
      <c r="H266" s="152"/>
    </row>
    <row r="267" spans="1:8" hidden="1" x14ac:dyDescent="0.25">
      <c r="A267" s="145" t="s">
        <v>1449</v>
      </c>
      <c r="B267" s="145" t="s">
        <v>1459</v>
      </c>
      <c r="C267" s="145" t="s">
        <v>1439</v>
      </c>
      <c r="D267" s="145" t="s">
        <v>1450</v>
      </c>
      <c r="E267" s="149">
        <v>40561</v>
      </c>
      <c r="F267" s="146">
        <v>8</v>
      </c>
      <c r="G267" s="146">
        <v>6576</v>
      </c>
      <c r="H267" s="152"/>
    </row>
    <row r="268" spans="1:8" hidden="1" x14ac:dyDescent="0.25">
      <c r="A268" s="145" t="s">
        <v>1442</v>
      </c>
      <c r="B268" s="145" t="s">
        <v>1459</v>
      </c>
      <c r="C268" s="145" t="s">
        <v>1436</v>
      </c>
      <c r="D268" s="145" t="s">
        <v>1450</v>
      </c>
      <c r="E268" s="149">
        <v>40278</v>
      </c>
      <c r="F268" s="146">
        <v>8</v>
      </c>
      <c r="G268" s="146">
        <v>5056</v>
      </c>
      <c r="H268" s="152"/>
    </row>
    <row r="269" spans="1:8" x14ac:dyDescent="0.25">
      <c r="A269" s="145" t="s">
        <v>1449</v>
      </c>
      <c r="B269" s="145" t="s">
        <v>1459</v>
      </c>
      <c r="C269" s="145" t="s">
        <v>1445</v>
      </c>
      <c r="D269" s="145" t="s">
        <v>1455</v>
      </c>
      <c r="E269" s="149">
        <v>40878</v>
      </c>
      <c r="F269" s="146">
        <v>9</v>
      </c>
      <c r="G269" s="146">
        <v>7461</v>
      </c>
      <c r="H269" s="152"/>
    </row>
    <row r="270" spans="1:8" hidden="1" x14ac:dyDescent="0.25">
      <c r="A270" s="145" t="s">
        <v>1443</v>
      </c>
      <c r="B270" s="145" t="s">
        <v>1459</v>
      </c>
      <c r="C270" s="145" t="s">
        <v>1441</v>
      </c>
      <c r="D270" s="145" t="s">
        <v>1455</v>
      </c>
      <c r="E270" s="149">
        <v>40332</v>
      </c>
      <c r="F270" s="146">
        <v>9</v>
      </c>
      <c r="G270" s="146">
        <v>3438</v>
      </c>
      <c r="H270" s="152"/>
    </row>
    <row r="271" spans="1:8" hidden="1" x14ac:dyDescent="0.25">
      <c r="A271" s="145" t="s">
        <v>1456</v>
      </c>
      <c r="B271" s="145" t="s">
        <v>1459</v>
      </c>
      <c r="C271" s="145" t="s">
        <v>1441</v>
      </c>
      <c r="D271" s="145" t="s">
        <v>1455</v>
      </c>
      <c r="E271" s="149">
        <v>40792</v>
      </c>
      <c r="F271" s="146">
        <v>9</v>
      </c>
      <c r="G271" s="146">
        <v>7803</v>
      </c>
      <c r="H271" s="152"/>
    </row>
    <row r="272" spans="1:8" hidden="1" x14ac:dyDescent="0.25">
      <c r="A272" s="145" t="s">
        <v>1446</v>
      </c>
      <c r="B272" s="145" t="s">
        <v>1459</v>
      </c>
      <c r="C272" s="145" t="s">
        <v>1439</v>
      </c>
      <c r="D272" s="145" t="s">
        <v>1455</v>
      </c>
      <c r="E272" s="149">
        <v>40750</v>
      </c>
      <c r="F272" s="146">
        <v>9</v>
      </c>
      <c r="G272" s="146">
        <v>5256</v>
      </c>
      <c r="H272" s="152"/>
    </row>
    <row r="273" spans="1:8" hidden="1" x14ac:dyDescent="0.25">
      <c r="A273" s="145" t="s">
        <v>1444</v>
      </c>
      <c r="B273" s="145" t="s">
        <v>1459</v>
      </c>
      <c r="C273" s="145" t="s">
        <v>1436</v>
      </c>
      <c r="D273" s="145" t="s">
        <v>1455</v>
      </c>
      <c r="E273" s="149">
        <v>40526</v>
      </c>
      <c r="F273" s="146">
        <v>9</v>
      </c>
      <c r="G273" s="146">
        <v>2790</v>
      </c>
      <c r="H273" s="152"/>
    </row>
    <row r="274" spans="1:8" x14ac:dyDescent="0.25">
      <c r="A274" s="145" t="s">
        <v>1449</v>
      </c>
      <c r="B274" s="145" t="s">
        <v>1459</v>
      </c>
      <c r="C274" s="145" t="s">
        <v>1445</v>
      </c>
      <c r="D274" s="145" t="s">
        <v>1435</v>
      </c>
      <c r="E274" s="149">
        <v>40181</v>
      </c>
      <c r="F274" s="146">
        <v>9</v>
      </c>
      <c r="G274" s="146">
        <v>5301</v>
      </c>
      <c r="H274" s="152"/>
    </row>
    <row r="275" spans="1:8" hidden="1" x14ac:dyDescent="0.25">
      <c r="A275" s="145" t="s">
        <v>1440</v>
      </c>
      <c r="B275" s="145" t="s">
        <v>1459</v>
      </c>
      <c r="C275" s="145" t="s">
        <v>1441</v>
      </c>
      <c r="D275" s="145" t="s">
        <v>1435</v>
      </c>
      <c r="E275" s="149">
        <v>40368</v>
      </c>
      <c r="F275" s="146">
        <v>9</v>
      </c>
      <c r="G275" s="146">
        <v>4455</v>
      </c>
      <c r="H275" s="152"/>
    </row>
    <row r="276" spans="1:8" hidden="1" x14ac:dyDescent="0.25">
      <c r="A276" s="145" t="s">
        <v>1440</v>
      </c>
      <c r="B276" s="145" t="s">
        <v>1459</v>
      </c>
      <c r="C276" s="145" t="s">
        <v>1436</v>
      </c>
      <c r="D276" s="145" t="s">
        <v>1435</v>
      </c>
      <c r="E276" s="149">
        <v>40212</v>
      </c>
      <c r="F276" s="146">
        <v>9</v>
      </c>
      <c r="G276" s="146">
        <v>8028</v>
      </c>
      <c r="H276" s="152"/>
    </row>
    <row r="277" spans="1:8" hidden="1" x14ac:dyDescent="0.25">
      <c r="A277" s="145" t="s">
        <v>1446</v>
      </c>
      <c r="B277" s="145" t="s">
        <v>1459</v>
      </c>
      <c r="C277" s="145" t="s">
        <v>1436</v>
      </c>
      <c r="D277" s="145" t="s">
        <v>1435</v>
      </c>
      <c r="E277" s="149">
        <v>40731</v>
      </c>
      <c r="F277" s="146">
        <v>9</v>
      </c>
      <c r="G277" s="146">
        <v>7344</v>
      </c>
      <c r="H277" s="152"/>
    </row>
    <row r="278" spans="1:8" hidden="1" x14ac:dyDescent="0.25">
      <c r="A278" s="145" t="s">
        <v>1451</v>
      </c>
      <c r="B278" s="145" t="s">
        <v>1459</v>
      </c>
      <c r="C278" s="145" t="s">
        <v>1441</v>
      </c>
      <c r="D278" s="145" t="s">
        <v>1453</v>
      </c>
      <c r="E278" s="149">
        <v>40380</v>
      </c>
      <c r="F278" s="146">
        <v>9</v>
      </c>
      <c r="G278" s="146">
        <v>4959</v>
      </c>
      <c r="H278" s="152"/>
    </row>
    <row r="279" spans="1:8" hidden="1" x14ac:dyDescent="0.25">
      <c r="A279" s="145" t="s">
        <v>1447</v>
      </c>
      <c r="B279" s="145" t="s">
        <v>1459</v>
      </c>
      <c r="C279" s="145" t="s">
        <v>1439</v>
      </c>
      <c r="D279" s="145" t="s">
        <v>1453</v>
      </c>
      <c r="E279" s="149">
        <v>40247</v>
      </c>
      <c r="F279" s="146">
        <v>9</v>
      </c>
      <c r="G279" s="150">
        <v>5742</v>
      </c>
      <c r="H279" s="152"/>
    </row>
    <row r="280" spans="1:8" hidden="1" x14ac:dyDescent="0.25">
      <c r="A280" s="145" t="s">
        <v>1448</v>
      </c>
      <c r="B280" s="145" t="s">
        <v>1459</v>
      </c>
      <c r="C280" s="145" t="s">
        <v>1439</v>
      </c>
      <c r="D280" s="145" t="s">
        <v>1452</v>
      </c>
      <c r="E280" s="149">
        <v>40498</v>
      </c>
      <c r="F280" s="146">
        <v>9</v>
      </c>
      <c r="G280" s="146">
        <v>7002</v>
      </c>
      <c r="H280" s="152"/>
    </row>
    <row r="281" spans="1:8" x14ac:dyDescent="0.25">
      <c r="A281" s="145" t="s">
        <v>1444</v>
      </c>
      <c r="B281" s="145" t="s">
        <v>1459</v>
      </c>
      <c r="C281" s="145" t="s">
        <v>1445</v>
      </c>
      <c r="D281" s="145" t="s">
        <v>1450</v>
      </c>
      <c r="E281" s="149">
        <v>40422</v>
      </c>
      <c r="F281" s="146">
        <v>9</v>
      </c>
      <c r="G281" s="146">
        <v>3789</v>
      </c>
      <c r="H281" s="152"/>
    </row>
    <row r="282" spans="1:8" hidden="1" x14ac:dyDescent="0.25">
      <c r="A282" s="145" t="s">
        <v>1442</v>
      </c>
      <c r="B282" s="145" t="s">
        <v>1459</v>
      </c>
      <c r="C282" s="145" t="s">
        <v>1441</v>
      </c>
      <c r="D282" s="145" t="s">
        <v>1450</v>
      </c>
      <c r="E282" s="149">
        <v>40267</v>
      </c>
      <c r="F282" s="146">
        <v>9</v>
      </c>
      <c r="G282" s="146">
        <v>3006</v>
      </c>
      <c r="H282" s="152"/>
    </row>
    <row r="283" spans="1:8" hidden="1" x14ac:dyDescent="0.25">
      <c r="A283" s="145" t="s">
        <v>1448</v>
      </c>
      <c r="B283" s="145" t="s">
        <v>1459</v>
      </c>
      <c r="C283" s="145" t="s">
        <v>1441</v>
      </c>
      <c r="D283" s="145" t="s">
        <v>1450</v>
      </c>
      <c r="E283" s="149">
        <v>40691</v>
      </c>
      <c r="F283" s="146">
        <v>9</v>
      </c>
      <c r="G283" s="146">
        <v>4041</v>
      </c>
      <c r="H283" s="152"/>
    </row>
    <row r="284" spans="1:8" hidden="1" x14ac:dyDescent="0.25">
      <c r="A284" s="145" t="s">
        <v>1448</v>
      </c>
      <c r="B284" s="145" t="s">
        <v>1459</v>
      </c>
      <c r="C284" s="145" t="s">
        <v>1439</v>
      </c>
      <c r="D284" s="145" t="s">
        <v>1450</v>
      </c>
      <c r="E284" s="149">
        <v>40576</v>
      </c>
      <c r="F284" s="146">
        <v>9</v>
      </c>
      <c r="G284" s="146">
        <v>6165</v>
      </c>
      <c r="H284" s="152"/>
    </row>
    <row r="285" spans="1:8" hidden="1" x14ac:dyDescent="0.25">
      <c r="A285" s="145" t="s">
        <v>1442</v>
      </c>
      <c r="B285" s="145" t="s">
        <v>1459</v>
      </c>
      <c r="C285" s="145" t="s">
        <v>1439</v>
      </c>
      <c r="D285" s="145" t="s">
        <v>1450</v>
      </c>
      <c r="E285" s="149">
        <v>40666</v>
      </c>
      <c r="F285" s="146">
        <v>9</v>
      </c>
      <c r="G285" s="146">
        <v>6939</v>
      </c>
      <c r="H285" s="152"/>
    </row>
    <row r="286" spans="1:8" x14ac:dyDescent="0.25">
      <c r="A286" s="145" t="s">
        <v>1449</v>
      </c>
      <c r="B286" s="145" t="s">
        <v>1459</v>
      </c>
      <c r="C286" s="145" t="s">
        <v>1445</v>
      </c>
      <c r="D286" s="145" t="s">
        <v>1455</v>
      </c>
      <c r="E286" s="149">
        <v>40389</v>
      </c>
      <c r="F286" s="146">
        <v>10</v>
      </c>
      <c r="G286" s="146">
        <v>8540</v>
      </c>
      <c r="H286" s="152"/>
    </row>
    <row r="287" spans="1:8" x14ac:dyDescent="0.25">
      <c r="A287" s="145" t="s">
        <v>1446</v>
      </c>
      <c r="B287" s="145" t="s">
        <v>1459</v>
      </c>
      <c r="C287" s="145" t="s">
        <v>1445</v>
      </c>
      <c r="D287" s="145" t="s">
        <v>1455</v>
      </c>
      <c r="E287" s="149">
        <v>40665</v>
      </c>
      <c r="F287" s="146">
        <v>10</v>
      </c>
      <c r="G287" s="146">
        <v>5650</v>
      </c>
      <c r="H287" s="152"/>
    </row>
    <row r="288" spans="1:8" x14ac:dyDescent="0.25">
      <c r="A288" s="145" t="s">
        <v>1456</v>
      </c>
      <c r="B288" s="145" t="s">
        <v>1459</v>
      </c>
      <c r="C288" s="145" t="s">
        <v>1445</v>
      </c>
      <c r="D288" s="145" t="s">
        <v>1455</v>
      </c>
      <c r="E288" s="149">
        <v>40759</v>
      </c>
      <c r="F288" s="146">
        <v>10</v>
      </c>
      <c r="G288" s="146">
        <v>7760</v>
      </c>
      <c r="H288" s="152"/>
    </row>
    <row r="289" spans="1:8" hidden="1" x14ac:dyDescent="0.25">
      <c r="A289" s="145" t="s">
        <v>1449</v>
      </c>
      <c r="B289" s="145" t="s">
        <v>1459</v>
      </c>
      <c r="C289" s="145" t="s">
        <v>1439</v>
      </c>
      <c r="D289" s="145" t="s">
        <v>1455</v>
      </c>
      <c r="E289" s="149">
        <v>40670</v>
      </c>
      <c r="F289" s="146">
        <v>10</v>
      </c>
      <c r="G289" s="146">
        <v>8130</v>
      </c>
      <c r="H289" s="152"/>
    </row>
    <row r="290" spans="1:8" hidden="1" x14ac:dyDescent="0.25">
      <c r="A290" s="145" t="s">
        <v>1446</v>
      </c>
      <c r="B290" s="145" t="s">
        <v>1459</v>
      </c>
      <c r="C290" s="145" t="s">
        <v>1436</v>
      </c>
      <c r="D290" s="145" t="s">
        <v>1455</v>
      </c>
      <c r="E290" s="149">
        <v>40344</v>
      </c>
      <c r="F290" s="146">
        <v>10</v>
      </c>
      <c r="G290" s="146">
        <v>3230</v>
      </c>
      <c r="H290" s="152"/>
    </row>
    <row r="291" spans="1:8" hidden="1" x14ac:dyDescent="0.25">
      <c r="A291" s="145" t="s">
        <v>1454</v>
      </c>
      <c r="B291" s="145" t="s">
        <v>1459</v>
      </c>
      <c r="C291" s="145" t="s">
        <v>1445</v>
      </c>
      <c r="D291" s="145" t="s">
        <v>1453</v>
      </c>
      <c r="E291" s="149">
        <v>40638</v>
      </c>
      <c r="F291" s="146">
        <v>10</v>
      </c>
      <c r="G291" s="146">
        <v>6580</v>
      </c>
      <c r="H291" s="152"/>
    </row>
    <row r="292" spans="1:8" hidden="1" x14ac:dyDescent="0.25">
      <c r="A292" s="145" t="s">
        <v>1454</v>
      </c>
      <c r="B292" s="145" t="s">
        <v>1459</v>
      </c>
      <c r="C292" s="145" t="s">
        <v>1436</v>
      </c>
      <c r="D292" s="145" t="s">
        <v>1453</v>
      </c>
      <c r="E292" s="149">
        <v>40855</v>
      </c>
      <c r="F292" s="146">
        <v>10</v>
      </c>
      <c r="G292" s="146">
        <v>4450</v>
      </c>
      <c r="H292" s="152"/>
    </row>
    <row r="293" spans="1:8" hidden="1" x14ac:dyDescent="0.25">
      <c r="A293" s="145" t="s">
        <v>1438</v>
      </c>
      <c r="B293" s="145" t="s">
        <v>1459</v>
      </c>
      <c r="C293" s="145" t="s">
        <v>1439</v>
      </c>
      <c r="D293" s="145" t="s">
        <v>1452</v>
      </c>
      <c r="E293" s="149">
        <v>40498</v>
      </c>
      <c r="F293" s="146">
        <v>10</v>
      </c>
      <c r="G293" s="146">
        <v>6470</v>
      </c>
      <c r="H293" s="152"/>
    </row>
    <row r="294" spans="1:8" hidden="1" x14ac:dyDescent="0.25">
      <c r="A294" s="145" t="s">
        <v>1449</v>
      </c>
      <c r="B294" s="145" t="s">
        <v>1459</v>
      </c>
      <c r="C294" s="145" t="s">
        <v>1441</v>
      </c>
      <c r="D294" s="145" t="s">
        <v>1450</v>
      </c>
      <c r="E294" s="149">
        <v>40686</v>
      </c>
      <c r="F294" s="146">
        <v>10</v>
      </c>
      <c r="G294" s="146">
        <v>5930</v>
      </c>
      <c r="H294" s="152"/>
    </row>
    <row r="295" spans="1:8" hidden="1" x14ac:dyDescent="0.25">
      <c r="A295" s="145" t="s">
        <v>1454</v>
      </c>
      <c r="B295" s="145" t="s">
        <v>1459</v>
      </c>
      <c r="C295" s="145" t="s">
        <v>1441</v>
      </c>
      <c r="D295" s="145" t="s">
        <v>1450</v>
      </c>
      <c r="E295" s="149">
        <v>40869</v>
      </c>
      <c r="F295" s="146">
        <v>10</v>
      </c>
      <c r="G295" s="146">
        <v>3630</v>
      </c>
      <c r="H295" s="152"/>
    </row>
    <row r="296" spans="1:8" hidden="1" x14ac:dyDescent="0.25">
      <c r="A296" s="145" t="s">
        <v>1442</v>
      </c>
      <c r="B296" s="145" t="s">
        <v>1459</v>
      </c>
      <c r="C296" s="145" t="s">
        <v>1439</v>
      </c>
      <c r="D296" s="145" t="s">
        <v>1450</v>
      </c>
      <c r="E296" s="149">
        <v>40631</v>
      </c>
      <c r="F296" s="146">
        <v>10</v>
      </c>
      <c r="G296" s="146">
        <v>6800</v>
      </c>
      <c r="H296" s="152"/>
    </row>
    <row r="297" spans="1:8" hidden="1" x14ac:dyDescent="0.25">
      <c r="A297" s="145" t="s">
        <v>1449</v>
      </c>
      <c r="B297" s="145" t="s">
        <v>1459</v>
      </c>
      <c r="C297" s="145" t="s">
        <v>1441</v>
      </c>
      <c r="D297" s="145" t="s">
        <v>1455</v>
      </c>
      <c r="E297" s="149">
        <v>40595</v>
      </c>
      <c r="F297" s="146">
        <v>11</v>
      </c>
      <c r="G297" s="146">
        <v>4609</v>
      </c>
      <c r="H297" s="152"/>
    </row>
    <row r="298" spans="1:8" hidden="1" x14ac:dyDescent="0.25">
      <c r="A298" s="145" t="s">
        <v>1451</v>
      </c>
      <c r="B298" s="145" t="s">
        <v>1459</v>
      </c>
      <c r="C298" s="145" t="s">
        <v>1436</v>
      </c>
      <c r="D298" s="145" t="s">
        <v>1455</v>
      </c>
      <c r="E298" s="149">
        <v>40764</v>
      </c>
      <c r="F298" s="146">
        <v>11</v>
      </c>
      <c r="G298" s="146">
        <v>8646</v>
      </c>
      <c r="H298" s="152"/>
    </row>
    <row r="299" spans="1:8" x14ac:dyDescent="0.25">
      <c r="A299" s="145" t="s">
        <v>1438</v>
      </c>
      <c r="B299" s="145" t="s">
        <v>1459</v>
      </c>
      <c r="C299" s="145" t="s">
        <v>1445</v>
      </c>
      <c r="D299" s="145" t="s">
        <v>1435</v>
      </c>
      <c r="E299" s="149">
        <v>40582</v>
      </c>
      <c r="F299" s="146">
        <v>11</v>
      </c>
      <c r="G299" s="146">
        <v>7656</v>
      </c>
      <c r="H299" s="152"/>
    </row>
    <row r="300" spans="1:8" hidden="1" x14ac:dyDescent="0.25">
      <c r="A300" s="145" t="s">
        <v>1443</v>
      </c>
      <c r="B300" s="145" t="s">
        <v>1459</v>
      </c>
      <c r="C300" s="145" t="s">
        <v>1439</v>
      </c>
      <c r="D300" s="145" t="s">
        <v>1435</v>
      </c>
      <c r="E300" s="149">
        <v>40212</v>
      </c>
      <c r="F300" s="146">
        <v>11</v>
      </c>
      <c r="G300" s="146">
        <v>8811</v>
      </c>
      <c r="H300" s="152"/>
    </row>
    <row r="301" spans="1:8" hidden="1" x14ac:dyDescent="0.25">
      <c r="A301" s="145" t="s">
        <v>1447</v>
      </c>
      <c r="B301" s="145" t="s">
        <v>1459</v>
      </c>
      <c r="C301" s="145" t="s">
        <v>1439</v>
      </c>
      <c r="D301" s="145" t="s">
        <v>1435</v>
      </c>
      <c r="E301" s="149">
        <v>40887</v>
      </c>
      <c r="F301" s="146">
        <v>11</v>
      </c>
      <c r="G301" s="146">
        <v>4972</v>
      </c>
      <c r="H301" s="152"/>
    </row>
    <row r="302" spans="1:8" hidden="1" x14ac:dyDescent="0.25">
      <c r="A302" s="145" t="s">
        <v>1448</v>
      </c>
      <c r="B302" s="145" t="s">
        <v>1459</v>
      </c>
      <c r="C302" s="145" t="s">
        <v>1436</v>
      </c>
      <c r="D302" s="145" t="s">
        <v>1435</v>
      </c>
      <c r="E302" s="149">
        <v>40677</v>
      </c>
      <c r="F302" s="146">
        <v>11</v>
      </c>
      <c r="G302" s="146">
        <v>6798</v>
      </c>
      <c r="H302" s="152"/>
    </row>
    <row r="303" spans="1:8" hidden="1" x14ac:dyDescent="0.25">
      <c r="A303" s="145" t="s">
        <v>1454</v>
      </c>
      <c r="B303" s="145" t="s">
        <v>1459</v>
      </c>
      <c r="C303" s="145" t="s">
        <v>1436</v>
      </c>
      <c r="D303" s="145" t="s">
        <v>1452</v>
      </c>
      <c r="E303" s="149">
        <v>40848</v>
      </c>
      <c r="F303" s="146">
        <v>11</v>
      </c>
      <c r="G303" s="146">
        <v>7348</v>
      </c>
      <c r="H303" s="152"/>
    </row>
    <row r="304" spans="1:8" hidden="1" x14ac:dyDescent="0.25">
      <c r="A304" s="145" t="s">
        <v>1444</v>
      </c>
      <c r="B304" s="145" t="s">
        <v>1459</v>
      </c>
      <c r="C304" s="145" t="s">
        <v>1439</v>
      </c>
      <c r="D304" s="145" t="s">
        <v>1450</v>
      </c>
      <c r="E304" s="149">
        <v>40252</v>
      </c>
      <c r="F304" s="146">
        <v>11</v>
      </c>
      <c r="G304" s="150">
        <v>7953</v>
      </c>
      <c r="H304" s="152"/>
    </row>
    <row r="305" spans="1:8" hidden="1" x14ac:dyDescent="0.25">
      <c r="A305" s="145" t="s">
        <v>1444</v>
      </c>
      <c r="B305" s="145" t="s">
        <v>1459</v>
      </c>
      <c r="C305" s="145" t="s">
        <v>1436</v>
      </c>
      <c r="D305" s="145" t="s">
        <v>1450</v>
      </c>
      <c r="E305" s="149">
        <v>40309</v>
      </c>
      <c r="F305" s="146">
        <v>11</v>
      </c>
      <c r="G305" s="146">
        <v>8833</v>
      </c>
      <c r="H305" s="152"/>
    </row>
    <row r="306" spans="1:8" hidden="1" x14ac:dyDescent="0.25">
      <c r="A306" s="145" t="s">
        <v>1454</v>
      </c>
      <c r="B306" s="145" t="s">
        <v>1459</v>
      </c>
      <c r="C306" s="145" t="s">
        <v>1445</v>
      </c>
      <c r="D306" s="145" t="s">
        <v>1435</v>
      </c>
      <c r="E306" s="149">
        <v>40382</v>
      </c>
      <c r="F306" s="146">
        <v>12</v>
      </c>
      <c r="G306" s="146">
        <v>6132</v>
      </c>
      <c r="H306" s="152"/>
    </row>
    <row r="307" spans="1:8" x14ac:dyDescent="0.25">
      <c r="A307" s="145" t="s">
        <v>1448</v>
      </c>
      <c r="B307" s="145" t="s">
        <v>1459</v>
      </c>
      <c r="C307" s="145" t="s">
        <v>1445</v>
      </c>
      <c r="D307" s="145" t="s">
        <v>1435</v>
      </c>
      <c r="E307" s="149">
        <v>40576</v>
      </c>
      <c r="F307" s="146">
        <v>12</v>
      </c>
      <c r="G307" s="146">
        <v>4452</v>
      </c>
      <c r="H307" s="152" t="s">
        <v>1611</v>
      </c>
    </row>
    <row r="308" spans="1:8" x14ac:dyDescent="0.25">
      <c r="A308" s="145" t="s">
        <v>1448</v>
      </c>
      <c r="B308" s="145" t="s">
        <v>1459</v>
      </c>
      <c r="C308" s="145" t="s">
        <v>1445</v>
      </c>
      <c r="D308" s="145" t="s">
        <v>1435</v>
      </c>
      <c r="E308" s="149">
        <v>40896</v>
      </c>
      <c r="F308" s="146">
        <v>12</v>
      </c>
      <c r="G308" s="146">
        <v>8880</v>
      </c>
      <c r="H308" s="152"/>
    </row>
    <row r="309" spans="1:8" hidden="1" x14ac:dyDescent="0.25">
      <c r="A309" s="145" t="s">
        <v>1440</v>
      </c>
      <c r="B309" s="145" t="s">
        <v>1459</v>
      </c>
      <c r="C309" s="145" t="s">
        <v>1436</v>
      </c>
      <c r="D309" s="145" t="s">
        <v>1435</v>
      </c>
      <c r="E309" s="149">
        <v>40212</v>
      </c>
      <c r="F309" s="146">
        <v>12</v>
      </c>
      <c r="G309" s="146">
        <v>4704</v>
      </c>
      <c r="H309" s="152"/>
    </row>
    <row r="310" spans="1:8" hidden="1" x14ac:dyDescent="0.25">
      <c r="A310" s="145" t="s">
        <v>1443</v>
      </c>
      <c r="B310" s="145" t="s">
        <v>1459</v>
      </c>
      <c r="C310" s="145" t="s">
        <v>1441</v>
      </c>
      <c r="D310" s="145" t="s">
        <v>1453</v>
      </c>
      <c r="E310" s="149">
        <v>40229</v>
      </c>
      <c r="F310" s="146">
        <v>12</v>
      </c>
      <c r="G310" s="150">
        <v>10224</v>
      </c>
      <c r="H310" s="152"/>
    </row>
    <row r="311" spans="1:8" hidden="1" x14ac:dyDescent="0.25">
      <c r="A311" s="145" t="s">
        <v>1440</v>
      </c>
      <c r="B311" s="145" t="s">
        <v>1459</v>
      </c>
      <c r="C311" s="145" t="s">
        <v>1441</v>
      </c>
      <c r="D311" s="145" t="s">
        <v>1453</v>
      </c>
      <c r="E311" s="149">
        <v>40313</v>
      </c>
      <c r="F311" s="146">
        <v>12</v>
      </c>
      <c r="G311" s="146">
        <v>4740</v>
      </c>
      <c r="H311" s="152"/>
    </row>
    <row r="312" spans="1:8" hidden="1" x14ac:dyDescent="0.25">
      <c r="A312" s="145" t="s">
        <v>1438</v>
      </c>
      <c r="B312" s="145" t="s">
        <v>1459</v>
      </c>
      <c r="C312" s="145" t="s">
        <v>1436</v>
      </c>
      <c r="D312" s="145" t="s">
        <v>1453</v>
      </c>
      <c r="E312" s="149">
        <v>40673</v>
      </c>
      <c r="F312" s="146">
        <v>12</v>
      </c>
      <c r="G312" s="146">
        <v>8424</v>
      </c>
      <c r="H312" s="152"/>
    </row>
    <row r="313" spans="1:8" hidden="1" x14ac:dyDescent="0.25">
      <c r="A313" s="145" t="s">
        <v>1448</v>
      </c>
      <c r="B313" s="145" t="s">
        <v>1459</v>
      </c>
      <c r="C313" s="145" t="s">
        <v>1441</v>
      </c>
      <c r="D313" s="145" t="s">
        <v>1452</v>
      </c>
      <c r="E313" s="149">
        <v>40648</v>
      </c>
      <c r="F313" s="146">
        <v>12</v>
      </c>
      <c r="G313" s="146">
        <v>4980</v>
      </c>
      <c r="H313" s="152"/>
    </row>
    <row r="314" spans="1:8" hidden="1" x14ac:dyDescent="0.25">
      <c r="A314" s="145" t="s">
        <v>1449</v>
      </c>
      <c r="B314" s="145" t="s">
        <v>1459</v>
      </c>
      <c r="C314" s="145" t="s">
        <v>1436</v>
      </c>
      <c r="D314" s="145" t="s">
        <v>1452</v>
      </c>
      <c r="E314" s="149">
        <v>40557</v>
      </c>
      <c r="F314" s="146">
        <v>12</v>
      </c>
      <c r="G314" s="146">
        <v>6984</v>
      </c>
      <c r="H314" s="152"/>
    </row>
    <row r="315" spans="1:8" x14ac:dyDescent="0.25">
      <c r="A315" s="145" t="s">
        <v>1451</v>
      </c>
      <c r="B315" s="145" t="s">
        <v>1459</v>
      </c>
      <c r="C315" s="145" t="s">
        <v>1445</v>
      </c>
      <c r="D315" s="145" t="s">
        <v>1450</v>
      </c>
      <c r="E315" s="149">
        <v>40439</v>
      </c>
      <c r="F315" s="146">
        <v>12</v>
      </c>
      <c r="G315" s="146">
        <v>9192</v>
      </c>
      <c r="H315" s="152"/>
    </row>
    <row r="316" spans="1:8" x14ac:dyDescent="0.25">
      <c r="A316" s="145" t="s">
        <v>1448</v>
      </c>
      <c r="B316" s="145" t="s">
        <v>1459</v>
      </c>
      <c r="C316" s="145" t="s">
        <v>1445</v>
      </c>
      <c r="D316" s="145" t="s">
        <v>1450</v>
      </c>
      <c r="E316" s="149">
        <v>40449</v>
      </c>
      <c r="F316" s="146">
        <v>12</v>
      </c>
      <c r="G316" s="146">
        <v>4188</v>
      </c>
      <c r="H316" s="152"/>
    </row>
    <row r="317" spans="1:8" hidden="1" x14ac:dyDescent="0.25">
      <c r="A317" s="145" t="s">
        <v>1438</v>
      </c>
      <c r="B317" s="145" t="s">
        <v>1459</v>
      </c>
      <c r="C317" s="145" t="s">
        <v>1436</v>
      </c>
      <c r="D317" s="145" t="s">
        <v>1450</v>
      </c>
      <c r="E317" s="149">
        <v>40459</v>
      </c>
      <c r="F317" s="146">
        <v>12</v>
      </c>
      <c r="G317" s="146">
        <v>4488</v>
      </c>
      <c r="H317" s="152"/>
    </row>
    <row r="318" spans="1:8" x14ac:dyDescent="0.25">
      <c r="A318" s="145" t="s">
        <v>1448</v>
      </c>
      <c r="B318" s="145" t="s">
        <v>1459</v>
      </c>
      <c r="C318" s="145" t="s">
        <v>1445</v>
      </c>
      <c r="D318" s="145" t="s">
        <v>1455</v>
      </c>
      <c r="E318" s="149">
        <v>40203</v>
      </c>
      <c r="F318" s="146">
        <v>13</v>
      </c>
      <c r="G318" s="150">
        <v>5083</v>
      </c>
      <c r="H318" s="152"/>
    </row>
    <row r="319" spans="1:8" x14ac:dyDescent="0.25">
      <c r="A319" s="145" t="s">
        <v>1456</v>
      </c>
      <c r="B319" s="145" t="s">
        <v>1459</v>
      </c>
      <c r="C319" s="145" t="s">
        <v>1445</v>
      </c>
      <c r="D319" s="145" t="s">
        <v>1455</v>
      </c>
      <c r="E319" s="149">
        <v>40613</v>
      </c>
      <c r="F319" s="146">
        <v>13</v>
      </c>
      <c r="G319" s="146">
        <v>6669</v>
      </c>
      <c r="H319" s="152"/>
    </row>
    <row r="320" spans="1:8" x14ac:dyDescent="0.25">
      <c r="A320" s="145" t="s">
        <v>1440</v>
      </c>
      <c r="B320" s="145" t="s">
        <v>1459</v>
      </c>
      <c r="C320" s="145" t="s">
        <v>1445</v>
      </c>
      <c r="D320" s="145" t="s">
        <v>1435</v>
      </c>
      <c r="E320" s="149">
        <v>40337</v>
      </c>
      <c r="F320" s="146">
        <v>13</v>
      </c>
      <c r="G320" s="146">
        <v>6994</v>
      </c>
      <c r="H320" s="152"/>
    </row>
    <row r="321" spans="1:8" x14ac:dyDescent="0.25">
      <c r="A321" s="145" t="s">
        <v>1438</v>
      </c>
      <c r="B321" s="145" t="s">
        <v>1459</v>
      </c>
      <c r="C321" s="145" t="s">
        <v>1445</v>
      </c>
      <c r="D321" s="145" t="s">
        <v>1435</v>
      </c>
      <c r="E321" s="149">
        <v>40575</v>
      </c>
      <c r="F321" s="146">
        <v>13</v>
      </c>
      <c r="G321" s="146">
        <v>8125</v>
      </c>
      <c r="H321" s="152"/>
    </row>
    <row r="322" spans="1:8" x14ac:dyDescent="0.25">
      <c r="A322" s="145" t="s">
        <v>1449</v>
      </c>
      <c r="B322" s="145" t="s">
        <v>1459</v>
      </c>
      <c r="C322" s="145" t="s">
        <v>1445</v>
      </c>
      <c r="D322" s="145" t="s">
        <v>1453</v>
      </c>
      <c r="E322" s="149">
        <v>40379</v>
      </c>
      <c r="F322" s="146">
        <v>13</v>
      </c>
      <c r="G322" s="146">
        <v>11648</v>
      </c>
      <c r="H322" s="152"/>
    </row>
    <row r="323" spans="1:8" x14ac:dyDescent="0.25">
      <c r="A323" s="145" t="s">
        <v>1451</v>
      </c>
      <c r="B323" s="145" t="s">
        <v>1459</v>
      </c>
      <c r="C323" s="145" t="s">
        <v>1445</v>
      </c>
      <c r="D323" s="145" t="s">
        <v>1453</v>
      </c>
      <c r="E323" s="149">
        <v>40859</v>
      </c>
      <c r="F323" s="146">
        <v>13</v>
      </c>
      <c r="G323" s="146">
        <v>9516</v>
      </c>
      <c r="H323" s="152"/>
    </row>
    <row r="324" spans="1:8" hidden="1" x14ac:dyDescent="0.25">
      <c r="A324" s="145" t="s">
        <v>1438</v>
      </c>
      <c r="B324" s="145" t="s">
        <v>1459</v>
      </c>
      <c r="C324" s="145" t="s">
        <v>1441</v>
      </c>
      <c r="D324" s="145" t="s">
        <v>1452</v>
      </c>
      <c r="E324" s="149">
        <v>40376</v>
      </c>
      <c r="F324" s="146">
        <v>13</v>
      </c>
      <c r="G324" s="146">
        <v>5915</v>
      </c>
      <c r="H324" s="152"/>
    </row>
    <row r="325" spans="1:8" hidden="1" x14ac:dyDescent="0.25">
      <c r="A325" s="145" t="s">
        <v>1438</v>
      </c>
      <c r="B325" s="145" t="s">
        <v>1459</v>
      </c>
      <c r="C325" s="145" t="s">
        <v>1436</v>
      </c>
      <c r="D325" s="145" t="s">
        <v>1452</v>
      </c>
      <c r="E325" s="149">
        <v>40361</v>
      </c>
      <c r="F325" s="146">
        <v>13</v>
      </c>
      <c r="G325" s="146">
        <v>8086</v>
      </c>
      <c r="H325" s="152"/>
    </row>
    <row r="326" spans="1:8" hidden="1" x14ac:dyDescent="0.25">
      <c r="A326" s="145" t="s">
        <v>1451</v>
      </c>
      <c r="B326" s="145" t="s">
        <v>1459</v>
      </c>
      <c r="C326" s="145" t="s">
        <v>1441</v>
      </c>
      <c r="D326" s="145" t="s">
        <v>1450</v>
      </c>
      <c r="E326" s="149">
        <v>40556</v>
      </c>
      <c r="F326" s="146">
        <v>13</v>
      </c>
      <c r="G326" s="146">
        <v>5512</v>
      </c>
      <c r="H326" s="152"/>
    </row>
    <row r="327" spans="1:8" hidden="1" x14ac:dyDescent="0.25">
      <c r="A327" s="145" t="s">
        <v>1448</v>
      </c>
      <c r="B327" s="145" t="s">
        <v>1459</v>
      </c>
      <c r="C327" s="145" t="s">
        <v>1439</v>
      </c>
      <c r="D327" s="145" t="s">
        <v>1435</v>
      </c>
      <c r="E327" s="149">
        <v>40507</v>
      </c>
      <c r="F327" s="146">
        <v>14</v>
      </c>
      <c r="G327" s="146">
        <v>5754</v>
      </c>
      <c r="H327" s="152"/>
    </row>
    <row r="328" spans="1:8" hidden="1" x14ac:dyDescent="0.25">
      <c r="A328" s="145" t="s">
        <v>1456</v>
      </c>
      <c r="B328" s="145" t="s">
        <v>1459</v>
      </c>
      <c r="C328" s="145" t="s">
        <v>1436</v>
      </c>
      <c r="D328" s="145" t="s">
        <v>1435</v>
      </c>
      <c r="E328" s="149">
        <v>40192</v>
      </c>
      <c r="F328" s="146">
        <v>14</v>
      </c>
      <c r="G328" s="146">
        <v>11550</v>
      </c>
      <c r="H328" s="152"/>
    </row>
    <row r="329" spans="1:8" hidden="1" x14ac:dyDescent="0.25">
      <c r="A329" s="145" t="s">
        <v>1440</v>
      </c>
      <c r="B329" s="145" t="s">
        <v>1459</v>
      </c>
      <c r="C329" s="145" t="s">
        <v>1436</v>
      </c>
      <c r="D329" s="145" t="s">
        <v>1435</v>
      </c>
      <c r="E329" s="149">
        <v>40323</v>
      </c>
      <c r="F329" s="146">
        <v>14</v>
      </c>
      <c r="G329" s="146">
        <v>4522</v>
      </c>
      <c r="H329" s="152"/>
    </row>
    <row r="330" spans="1:8" x14ac:dyDescent="0.25">
      <c r="A330" s="145" t="s">
        <v>1438</v>
      </c>
      <c r="B330" s="145" t="s">
        <v>1459</v>
      </c>
      <c r="C330" s="145" t="s">
        <v>1445</v>
      </c>
      <c r="D330" s="145" t="s">
        <v>1453</v>
      </c>
      <c r="E330" s="149">
        <v>40360</v>
      </c>
      <c r="F330" s="146">
        <v>14</v>
      </c>
      <c r="G330" s="146">
        <v>12138</v>
      </c>
      <c r="H330" s="152"/>
    </row>
    <row r="331" spans="1:8" hidden="1" x14ac:dyDescent="0.25">
      <c r="A331" s="145" t="s">
        <v>1454</v>
      </c>
      <c r="B331" s="145" t="s">
        <v>1459</v>
      </c>
      <c r="C331" s="145" t="s">
        <v>1441</v>
      </c>
      <c r="D331" s="145" t="s">
        <v>1452</v>
      </c>
      <c r="E331" s="149">
        <v>40577</v>
      </c>
      <c r="F331" s="146">
        <v>14</v>
      </c>
      <c r="G331" s="146">
        <v>10528</v>
      </c>
      <c r="H331" s="152"/>
    </row>
    <row r="332" spans="1:8" hidden="1" x14ac:dyDescent="0.25">
      <c r="A332" s="145" t="s">
        <v>1447</v>
      </c>
      <c r="B332" s="145" t="s">
        <v>1459</v>
      </c>
      <c r="C332" s="145" t="s">
        <v>1439</v>
      </c>
      <c r="D332" s="145" t="s">
        <v>1452</v>
      </c>
      <c r="E332" s="149">
        <v>40887</v>
      </c>
      <c r="F332" s="146">
        <v>14</v>
      </c>
      <c r="G332" s="146">
        <v>4704</v>
      </c>
      <c r="H332" s="152"/>
    </row>
    <row r="333" spans="1:8" hidden="1" x14ac:dyDescent="0.25">
      <c r="A333" s="145" t="s">
        <v>1449</v>
      </c>
      <c r="B333" s="145" t="s">
        <v>1459</v>
      </c>
      <c r="C333" s="145" t="s">
        <v>1436</v>
      </c>
      <c r="D333" s="145" t="s">
        <v>1452</v>
      </c>
      <c r="E333" s="149">
        <v>40904</v>
      </c>
      <c r="F333" s="146">
        <v>14</v>
      </c>
      <c r="G333" s="146">
        <v>8190</v>
      </c>
      <c r="H333" s="152"/>
    </row>
    <row r="334" spans="1:8" hidden="1" x14ac:dyDescent="0.25">
      <c r="A334" s="145" t="s">
        <v>1442</v>
      </c>
      <c r="B334" s="145" t="s">
        <v>1459</v>
      </c>
      <c r="C334" s="145" t="s">
        <v>1439</v>
      </c>
      <c r="D334" s="145" t="s">
        <v>1435</v>
      </c>
      <c r="E334" s="149">
        <v>40392</v>
      </c>
      <c r="F334" s="146">
        <v>15</v>
      </c>
      <c r="G334" s="146">
        <v>12285</v>
      </c>
      <c r="H334" s="152"/>
    </row>
    <row r="335" spans="1:8" hidden="1" x14ac:dyDescent="0.25">
      <c r="A335" s="145" t="s">
        <v>1449</v>
      </c>
      <c r="B335" s="145" t="s">
        <v>1459</v>
      </c>
      <c r="C335" s="145" t="s">
        <v>1436</v>
      </c>
      <c r="D335" s="145" t="s">
        <v>1435</v>
      </c>
      <c r="E335" s="149">
        <v>40212</v>
      </c>
      <c r="F335" s="146">
        <v>15</v>
      </c>
      <c r="G335" s="146">
        <v>7770</v>
      </c>
      <c r="H335" s="152"/>
    </row>
    <row r="336" spans="1:8" hidden="1" x14ac:dyDescent="0.25">
      <c r="A336" s="145" t="s">
        <v>1454</v>
      </c>
      <c r="B336" s="145" t="s">
        <v>1459</v>
      </c>
      <c r="C336" s="145" t="s">
        <v>1445</v>
      </c>
      <c r="D336" s="145" t="s">
        <v>1453</v>
      </c>
      <c r="E336" s="149">
        <v>40568</v>
      </c>
      <c r="F336" s="146">
        <v>15</v>
      </c>
      <c r="G336" s="146">
        <v>13020</v>
      </c>
      <c r="H336" s="152"/>
    </row>
    <row r="337" spans="1:8" hidden="1" x14ac:dyDescent="0.25">
      <c r="A337" s="145" t="s">
        <v>1442</v>
      </c>
      <c r="B337" s="145" t="s">
        <v>1459</v>
      </c>
      <c r="C337" s="145" t="s">
        <v>1439</v>
      </c>
      <c r="D337" s="145" t="s">
        <v>1453</v>
      </c>
      <c r="E337" s="149">
        <v>40404</v>
      </c>
      <c r="F337" s="146">
        <v>15</v>
      </c>
      <c r="G337" s="146">
        <v>8505</v>
      </c>
      <c r="H337" s="152"/>
    </row>
    <row r="338" spans="1:8" hidden="1" x14ac:dyDescent="0.25">
      <c r="A338" s="145" t="s">
        <v>1444</v>
      </c>
      <c r="B338" s="145" t="s">
        <v>1459</v>
      </c>
      <c r="C338" s="145" t="s">
        <v>1441</v>
      </c>
      <c r="D338" s="145" t="s">
        <v>1452</v>
      </c>
      <c r="E338" s="149">
        <v>40456</v>
      </c>
      <c r="F338" s="146">
        <v>15</v>
      </c>
      <c r="G338" s="146">
        <v>8535</v>
      </c>
      <c r="H338" s="152"/>
    </row>
    <row r="339" spans="1:8" hidden="1" x14ac:dyDescent="0.25">
      <c r="A339" s="145" t="s">
        <v>1443</v>
      </c>
      <c r="B339" s="145" t="s">
        <v>1459</v>
      </c>
      <c r="C339" s="145" t="s">
        <v>1439</v>
      </c>
      <c r="D339" s="145" t="s">
        <v>1450</v>
      </c>
      <c r="E339" s="149">
        <v>40501</v>
      </c>
      <c r="F339" s="146">
        <v>15</v>
      </c>
      <c r="G339" s="146">
        <v>7695</v>
      </c>
      <c r="H339" s="152"/>
    </row>
    <row r="340" spans="1:8" hidden="1" x14ac:dyDescent="0.25">
      <c r="A340" s="145" t="s">
        <v>1454</v>
      </c>
      <c r="B340" s="145" t="s">
        <v>1459</v>
      </c>
      <c r="C340" s="145" t="s">
        <v>1441</v>
      </c>
      <c r="D340" s="145" t="s">
        <v>1435</v>
      </c>
      <c r="E340" s="149">
        <v>40491</v>
      </c>
      <c r="F340" s="146">
        <v>16</v>
      </c>
      <c r="G340" s="146">
        <v>5536</v>
      </c>
      <c r="H340" s="152"/>
    </row>
    <row r="341" spans="1:8" hidden="1" x14ac:dyDescent="0.25">
      <c r="A341" s="145" t="s">
        <v>1446</v>
      </c>
      <c r="B341" s="145" t="s">
        <v>1459</v>
      </c>
      <c r="C341" s="145" t="s">
        <v>1436</v>
      </c>
      <c r="D341" s="145" t="s">
        <v>1435</v>
      </c>
      <c r="E341" s="149">
        <v>40760</v>
      </c>
      <c r="F341" s="146">
        <v>16</v>
      </c>
      <c r="G341" s="146">
        <v>10688</v>
      </c>
      <c r="H341" s="152"/>
    </row>
    <row r="342" spans="1:8" hidden="1" x14ac:dyDescent="0.25">
      <c r="A342" s="145" t="s">
        <v>1454</v>
      </c>
      <c r="B342" s="145" t="s">
        <v>1459</v>
      </c>
      <c r="C342" s="145" t="s">
        <v>1445</v>
      </c>
      <c r="D342" s="145" t="s">
        <v>1435</v>
      </c>
      <c r="E342" s="149">
        <v>40850</v>
      </c>
      <c r="F342" s="146">
        <v>17</v>
      </c>
      <c r="G342" s="146">
        <v>13872</v>
      </c>
      <c r="H342" s="152"/>
    </row>
    <row r="343" spans="1:8" hidden="1" x14ac:dyDescent="0.25">
      <c r="A343" s="145" t="s">
        <v>1447</v>
      </c>
      <c r="B343" s="145" t="s">
        <v>1459</v>
      </c>
      <c r="C343" s="145" t="s">
        <v>1439</v>
      </c>
      <c r="D343" s="145" t="s">
        <v>1435</v>
      </c>
      <c r="E343" s="149">
        <v>40247</v>
      </c>
      <c r="F343" s="146">
        <v>17</v>
      </c>
      <c r="G343" s="146">
        <v>14195</v>
      </c>
      <c r="H343" s="152"/>
    </row>
    <row r="344" spans="1:8" hidden="1" x14ac:dyDescent="0.25">
      <c r="A344" s="145" t="s">
        <v>1449</v>
      </c>
      <c r="B344" s="145" t="s">
        <v>1459</v>
      </c>
      <c r="C344" s="145" t="s">
        <v>1436</v>
      </c>
      <c r="D344" s="145" t="s">
        <v>1435</v>
      </c>
      <c r="E344" s="149">
        <v>40212</v>
      </c>
      <c r="F344" s="146">
        <v>17</v>
      </c>
      <c r="G344" s="146">
        <v>11407</v>
      </c>
      <c r="H344" s="152"/>
    </row>
    <row r="345" spans="1:8" hidden="1" x14ac:dyDescent="0.25">
      <c r="A345" s="145" t="s">
        <v>1442</v>
      </c>
      <c r="B345" s="145" t="s">
        <v>1459</v>
      </c>
      <c r="C345" s="145" t="s">
        <v>1436</v>
      </c>
      <c r="D345" s="145" t="s">
        <v>1435</v>
      </c>
      <c r="E345" s="149">
        <v>40508</v>
      </c>
      <c r="F345" s="146">
        <v>17</v>
      </c>
      <c r="G345" s="146">
        <v>13651</v>
      </c>
      <c r="H345" s="152"/>
    </row>
    <row r="346" spans="1:8" x14ac:dyDescent="0.25">
      <c r="A346" s="145" t="s">
        <v>1447</v>
      </c>
      <c r="B346" s="145" t="s">
        <v>1459</v>
      </c>
      <c r="C346" s="145" t="s">
        <v>1445</v>
      </c>
      <c r="D346" s="145" t="s">
        <v>1435</v>
      </c>
      <c r="E346" s="149">
        <v>40626</v>
      </c>
      <c r="F346" s="146">
        <v>18</v>
      </c>
      <c r="G346" s="146">
        <v>10260</v>
      </c>
      <c r="H346" s="152"/>
    </row>
    <row r="347" spans="1:8" hidden="1" x14ac:dyDescent="0.25">
      <c r="A347" s="145" t="s">
        <v>1438</v>
      </c>
      <c r="B347" s="145" t="s">
        <v>1459</v>
      </c>
      <c r="C347" s="145" t="s">
        <v>1441</v>
      </c>
      <c r="D347" s="145" t="s">
        <v>1435</v>
      </c>
      <c r="E347" s="149">
        <v>40228</v>
      </c>
      <c r="F347" s="146">
        <v>18</v>
      </c>
      <c r="G347" s="146">
        <v>15858</v>
      </c>
      <c r="H347" s="152"/>
    </row>
    <row r="348" spans="1:8" hidden="1" x14ac:dyDescent="0.25">
      <c r="A348" s="145" t="s">
        <v>1438</v>
      </c>
      <c r="B348" s="145" t="s">
        <v>1459</v>
      </c>
      <c r="C348" s="145" t="s">
        <v>1441</v>
      </c>
      <c r="D348" s="145" t="s">
        <v>1435</v>
      </c>
      <c r="E348" s="149">
        <v>40316</v>
      </c>
      <c r="F348" s="146">
        <v>18</v>
      </c>
      <c r="G348" s="146">
        <v>11214</v>
      </c>
      <c r="H348" s="152"/>
    </row>
    <row r="349" spans="1:8" hidden="1" x14ac:dyDescent="0.25">
      <c r="A349" s="145" t="s">
        <v>1454</v>
      </c>
      <c r="B349" s="145" t="s">
        <v>1459</v>
      </c>
      <c r="C349" s="145" t="s">
        <v>1441</v>
      </c>
      <c r="D349" s="145" t="s">
        <v>1435</v>
      </c>
      <c r="E349" s="149">
        <v>40898</v>
      </c>
      <c r="F349" s="146">
        <v>18</v>
      </c>
      <c r="G349" s="146">
        <v>13464</v>
      </c>
      <c r="H349" s="152"/>
    </row>
    <row r="350" spans="1:8" hidden="1" x14ac:dyDescent="0.25">
      <c r="A350" s="145" t="s">
        <v>1440</v>
      </c>
      <c r="B350" s="145" t="s">
        <v>1459</v>
      </c>
      <c r="C350" s="145" t="s">
        <v>1441</v>
      </c>
      <c r="D350" s="145" t="s">
        <v>1435</v>
      </c>
      <c r="E350" s="149">
        <v>40593</v>
      </c>
      <c r="F350" s="146">
        <v>19</v>
      </c>
      <c r="G350" s="146">
        <v>6536</v>
      </c>
      <c r="H350" s="152"/>
    </row>
    <row r="351" spans="1:8" hidden="1" x14ac:dyDescent="0.25">
      <c r="A351" s="145" t="s">
        <v>1446</v>
      </c>
      <c r="B351" s="145" t="s">
        <v>1458</v>
      </c>
      <c r="C351" s="145" t="s">
        <v>1445</v>
      </c>
      <c r="D351" s="145" t="s">
        <v>1455</v>
      </c>
      <c r="E351" s="149">
        <v>40792</v>
      </c>
      <c r="F351" s="146">
        <v>1</v>
      </c>
      <c r="G351" s="146">
        <v>594</v>
      </c>
      <c r="H351" s="152"/>
    </row>
    <row r="352" spans="1:8" hidden="1" x14ac:dyDescent="0.25">
      <c r="A352" s="145" t="s">
        <v>1443</v>
      </c>
      <c r="B352" s="145" t="s">
        <v>1458</v>
      </c>
      <c r="C352" s="145" t="s">
        <v>1441</v>
      </c>
      <c r="D352" s="145" t="s">
        <v>1455</v>
      </c>
      <c r="E352" s="149">
        <v>40820</v>
      </c>
      <c r="F352" s="146">
        <v>1</v>
      </c>
      <c r="G352" s="146">
        <v>312</v>
      </c>
      <c r="H352" s="152"/>
    </row>
    <row r="353" spans="1:8" hidden="1" x14ac:dyDescent="0.25">
      <c r="A353" s="145" t="s">
        <v>1438</v>
      </c>
      <c r="B353" s="145" t="s">
        <v>1458</v>
      </c>
      <c r="C353" s="145" t="s">
        <v>1441</v>
      </c>
      <c r="D353" s="145" t="s">
        <v>1455</v>
      </c>
      <c r="E353" s="149">
        <v>40820</v>
      </c>
      <c r="F353" s="146">
        <v>1</v>
      </c>
      <c r="G353" s="146">
        <v>393</v>
      </c>
      <c r="H353" s="152"/>
    </row>
    <row r="354" spans="1:8" hidden="1" x14ac:dyDescent="0.25">
      <c r="A354" s="145" t="s">
        <v>1456</v>
      </c>
      <c r="B354" s="145" t="s">
        <v>1458</v>
      </c>
      <c r="C354" s="145" t="s">
        <v>1439</v>
      </c>
      <c r="D354" s="145" t="s">
        <v>1455</v>
      </c>
      <c r="E354" s="149">
        <v>40652</v>
      </c>
      <c r="F354" s="146">
        <v>1</v>
      </c>
      <c r="G354" s="146">
        <v>328</v>
      </c>
      <c r="H354" s="152"/>
    </row>
    <row r="355" spans="1:8" hidden="1" x14ac:dyDescent="0.25">
      <c r="A355" s="145" t="s">
        <v>1438</v>
      </c>
      <c r="B355" s="145" t="s">
        <v>1458</v>
      </c>
      <c r="C355" s="145" t="s">
        <v>1445</v>
      </c>
      <c r="D355" s="145" t="s">
        <v>1453</v>
      </c>
      <c r="E355" s="149">
        <v>40408</v>
      </c>
      <c r="F355" s="146">
        <v>1</v>
      </c>
      <c r="G355" s="146">
        <v>563</v>
      </c>
      <c r="H355" s="152"/>
    </row>
    <row r="356" spans="1:8" hidden="1" x14ac:dyDescent="0.25">
      <c r="A356" s="145" t="s">
        <v>1446</v>
      </c>
      <c r="B356" s="145" t="s">
        <v>1458</v>
      </c>
      <c r="C356" s="145" t="s">
        <v>1445</v>
      </c>
      <c r="D356" s="145" t="s">
        <v>1453</v>
      </c>
      <c r="E356" s="149">
        <v>40522</v>
      </c>
      <c r="F356" s="146">
        <v>1</v>
      </c>
      <c r="G356" s="146">
        <v>443</v>
      </c>
      <c r="H356" s="152"/>
    </row>
    <row r="357" spans="1:8" hidden="1" x14ac:dyDescent="0.25">
      <c r="A357" s="145" t="s">
        <v>1447</v>
      </c>
      <c r="B357" s="145" t="s">
        <v>1458</v>
      </c>
      <c r="C357" s="145" t="s">
        <v>1441</v>
      </c>
      <c r="D357" s="145" t="s">
        <v>1453</v>
      </c>
      <c r="E357" s="149">
        <v>40491</v>
      </c>
      <c r="F357" s="146">
        <v>1</v>
      </c>
      <c r="G357" s="146">
        <v>461</v>
      </c>
      <c r="H357" s="152"/>
    </row>
    <row r="358" spans="1:8" hidden="1" x14ac:dyDescent="0.25">
      <c r="A358" s="145" t="s">
        <v>1449</v>
      </c>
      <c r="B358" s="145" t="s">
        <v>1458</v>
      </c>
      <c r="C358" s="145" t="s">
        <v>1441</v>
      </c>
      <c r="D358" s="145" t="s">
        <v>1453</v>
      </c>
      <c r="E358" s="149">
        <v>40870</v>
      </c>
      <c r="F358" s="146">
        <v>1</v>
      </c>
      <c r="G358" s="146">
        <v>558</v>
      </c>
      <c r="H358" s="152"/>
    </row>
    <row r="359" spans="1:8" hidden="1" x14ac:dyDescent="0.25">
      <c r="A359" s="145" t="s">
        <v>1438</v>
      </c>
      <c r="B359" s="145" t="s">
        <v>1458</v>
      </c>
      <c r="C359" s="145" t="s">
        <v>1445</v>
      </c>
      <c r="D359" s="145" t="s">
        <v>1452</v>
      </c>
      <c r="E359" s="149">
        <v>40450</v>
      </c>
      <c r="F359" s="146">
        <v>1</v>
      </c>
      <c r="G359" s="146">
        <v>388</v>
      </c>
      <c r="H359" s="152"/>
    </row>
    <row r="360" spans="1:8" hidden="1" x14ac:dyDescent="0.25">
      <c r="A360" s="145" t="s">
        <v>1448</v>
      </c>
      <c r="B360" s="145" t="s">
        <v>1458</v>
      </c>
      <c r="C360" s="145" t="s">
        <v>1445</v>
      </c>
      <c r="D360" s="145" t="s">
        <v>1452</v>
      </c>
      <c r="E360" s="149">
        <v>40838</v>
      </c>
      <c r="F360" s="146">
        <v>1</v>
      </c>
      <c r="G360" s="146">
        <v>569</v>
      </c>
      <c r="H360" s="152"/>
    </row>
    <row r="361" spans="1:8" hidden="1" x14ac:dyDescent="0.25">
      <c r="A361" s="145" t="s">
        <v>1456</v>
      </c>
      <c r="B361" s="145" t="s">
        <v>1458</v>
      </c>
      <c r="C361" s="145" t="s">
        <v>1441</v>
      </c>
      <c r="D361" s="145" t="s">
        <v>1450</v>
      </c>
      <c r="E361" s="149">
        <v>40663</v>
      </c>
      <c r="F361" s="146">
        <v>1</v>
      </c>
      <c r="G361" s="146">
        <v>425</v>
      </c>
      <c r="H361" s="152"/>
    </row>
    <row r="362" spans="1:8" hidden="1" x14ac:dyDescent="0.25">
      <c r="A362" s="145" t="s">
        <v>1444</v>
      </c>
      <c r="B362" s="145" t="s">
        <v>1458</v>
      </c>
      <c r="C362" s="145" t="s">
        <v>1436</v>
      </c>
      <c r="D362" s="145" t="s">
        <v>1450</v>
      </c>
      <c r="E362" s="149">
        <v>40553</v>
      </c>
      <c r="F362" s="146">
        <v>1</v>
      </c>
      <c r="G362" s="146">
        <v>438</v>
      </c>
      <c r="H362" s="152"/>
    </row>
    <row r="363" spans="1:8" hidden="1" x14ac:dyDescent="0.25">
      <c r="A363" s="145" t="s">
        <v>1438</v>
      </c>
      <c r="B363" s="145" t="s">
        <v>1458</v>
      </c>
      <c r="C363" s="145" t="s">
        <v>1445</v>
      </c>
      <c r="D363" s="145" t="s">
        <v>1455</v>
      </c>
      <c r="E363" s="149">
        <v>40844</v>
      </c>
      <c r="F363" s="146">
        <v>2</v>
      </c>
      <c r="G363" s="146">
        <v>1352</v>
      </c>
      <c r="H363" s="152"/>
    </row>
    <row r="364" spans="1:8" hidden="1" x14ac:dyDescent="0.25">
      <c r="A364" s="145" t="s">
        <v>1448</v>
      </c>
      <c r="B364" s="145" t="s">
        <v>1458</v>
      </c>
      <c r="C364" s="145" t="s">
        <v>1439</v>
      </c>
      <c r="D364" s="145" t="s">
        <v>1455</v>
      </c>
      <c r="E364" s="149">
        <v>40505</v>
      </c>
      <c r="F364" s="146">
        <v>2</v>
      </c>
      <c r="G364" s="146">
        <v>928</v>
      </c>
      <c r="H364" s="152"/>
    </row>
    <row r="365" spans="1:8" hidden="1" x14ac:dyDescent="0.25">
      <c r="A365" s="145" t="s">
        <v>1443</v>
      </c>
      <c r="B365" s="145" t="s">
        <v>1458</v>
      </c>
      <c r="C365" s="145" t="s">
        <v>1439</v>
      </c>
      <c r="D365" s="145" t="s">
        <v>1455</v>
      </c>
      <c r="E365" s="149">
        <v>40744</v>
      </c>
      <c r="F365" s="146">
        <v>2</v>
      </c>
      <c r="G365" s="146">
        <v>1316</v>
      </c>
      <c r="H365" s="152"/>
    </row>
    <row r="366" spans="1:8" hidden="1" x14ac:dyDescent="0.25">
      <c r="A366" s="145" t="s">
        <v>1446</v>
      </c>
      <c r="B366" s="145" t="s">
        <v>1458</v>
      </c>
      <c r="C366" s="145" t="s">
        <v>1436</v>
      </c>
      <c r="D366" s="145" t="s">
        <v>1455</v>
      </c>
      <c r="E366" s="149">
        <v>40744</v>
      </c>
      <c r="F366" s="146">
        <v>2</v>
      </c>
      <c r="G366" s="146">
        <v>686</v>
      </c>
      <c r="H366" s="152"/>
    </row>
    <row r="367" spans="1:8" hidden="1" x14ac:dyDescent="0.25">
      <c r="A367" s="145" t="s">
        <v>1438</v>
      </c>
      <c r="B367" s="145" t="s">
        <v>1458</v>
      </c>
      <c r="C367" s="145" t="s">
        <v>1441</v>
      </c>
      <c r="D367" s="145" t="s">
        <v>1453</v>
      </c>
      <c r="E367" s="149">
        <v>40406</v>
      </c>
      <c r="F367" s="146">
        <v>2</v>
      </c>
      <c r="G367" s="146">
        <v>986</v>
      </c>
      <c r="H367" s="152"/>
    </row>
    <row r="368" spans="1:8" hidden="1" x14ac:dyDescent="0.25">
      <c r="A368" s="145" t="s">
        <v>1440</v>
      </c>
      <c r="B368" s="145" t="s">
        <v>1458</v>
      </c>
      <c r="C368" s="145" t="s">
        <v>1445</v>
      </c>
      <c r="D368" s="145" t="s">
        <v>1452</v>
      </c>
      <c r="E368" s="149">
        <v>40470</v>
      </c>
      <c r="F368" s="146">
        <v>2</v>
      </c>
      <c r="G368" s="146">
        <v>840</v>
      </c>
      <c r="H368" s="152"/>
    </row>
    <row r="369" spans="1:8" hidden="1" x14ac:dyDescent="0.25">
      <c r="A369" s="145" t="s">
        <v>1442</v>
      </c>
      <c r="B369" s="145" t="s">
        <v>1458</v>
      </c>
      <c r="C369" s="145" t="s">
        <v>1445</v>
      </c>
      <c r="D369" s="145" t="s">
        <v>1452</v>
      </c>
      <c r="E369" s="149">
        <v>40483</v>
      </c>
      <c r="F369" s="146">
        <v>2</v>
      </c>
      <c r="G369" s="146">
        <v>674</v>
      </c>
      <c r="H369" s="152"/>
    </row>
    <row r="370" spans="1:8" hidden="1" x14ac:dyDescent="0.25">
      <c r="A370" s="145" t="s">
        <v>1443</v>
      </c>
      <c r="B370" s="145" t="s">
        <v>1458</v>
      </c>
      <c r="C370" s="145" t="s">
        <v>1441</v>
      </c>
      <c r="D370" s="145" t="s">
        <v>1452</v>
      </c>
      <c r="E370" s="149">
        <v>40772</v>
      </c>
      <c r="F370" s="146">
        <v>2</v>
      </c>
      <c r="G370" s="146">
        <v>938</v>
      </c>
      <c r="H370" s="152"/>
    </row>
    <row r="371" spans="1:8" hidden="1" x14ac:dyDescent="0.25">
      <c r="A371" s="145" t="s">
        <v>1438</v>
      </c>
      <c r="B371" s="145" t="s">
        <v>1458</v>
      </c>
      <c r="C371" s="145" t="s">
        <v>1441</v>
      </c>
      <c r="D371" s="145" t="s">
        <v>1450</v>
      </c>
      <c r="E371" s="149">
        <v>40675</v>
      </c>
      <c r="F371" s="146">
        <v>2</v>
      </c>
      <c r="G371" s="146">
        <v>1398</v>
      </c>
      <c r="H371" s="152"/>
    </row>
    <row r="372" spans="1:8" hidden="1" x14ac:dyDescent="0.25">
      <c r="A372" s="145" t="s">
        <v>1447</v>
      </c>
      <c r="B372" s="145" t="s">
        <v>1458</v>
      </c>
      <c r="C372" s="145" t="s">
        <v>1445</v>
      </c>
      <c r="D372" s="145" t="s">
        <v>1455</v>
      </c>
      <c r="E372" s="149">
        <v>40898</v>
      </c>
      <c r="F372" s="146">
        <v>3</v>
      </c>
      <c r="G372" s="146">
        <v>1149</v>
      </c>
      <c r="H372" s="152"/>
    </row>
    <row r="373" spans="1:8" hidden="1" x14ac:dyDescent="0.25">
      <c r="A373" s="145" t="s">
        <v>1451</v>
      </c>
      <c r="B373" s="145" t="s">
        <v>1458</v>
      </c>
      <c r="C373" s="145" t="s">
        <v>1441</v>
      </c>
      <c r="D373" s="145" t="s">
        <v>1455</v>
      </c>
      <c r="E373" s="149">
        <v>40183</v>
      </c>
      <c r="F373" s="146">
        <v>3</v>
      </c>
      <c r="G373" s="150">
        <v>1281</v>
      </c>
      <c r="H373" s="152"/>
    </row>
    <row r="374" spans="1:8" hidden="1" x14ac:dyDescent="0.25">
      <c r="A374" s="145" t="s">
        <v>1449</v>
      </c>
      <c r="B374" s="145" t="s">
        <v>1458</v>
      </c>
      <c r="C374" s="145" t="s">
        <v>1441</v>
      </c>
      <c r="D374" s="145" t="s">
        <v>1455</v>
      </c>
      <c r="E374" s="149">
        <v>40508</v>
      </c>
      <c r="F374" s="146">
        <v>3</v>
      </c>
      <c r="G374" s="146">
        <v>1827</v>
      </c>
      <c r="H374" s="152"/>
    </row>
    <row r="375" spans="1:8" hidden="1" x14ac:dyDescent="0.25">
      <c r="A375" s="145" t="s">
        <v>1454</v>
      </c>
      <c r="B375" s="145" t="s">
        <v>1458</v>
      </c>
      <c r="C375" s="145" t="s">
        <v>1441</v>
      </c>
      <c r="D375" s="145" t="s">
        <v>1453</v>
      </c>
      <c r="E375" s="149">
        <v>40789</v>
      </c>
      <c r="F375" s="146">
        <v>3</v>
      </c>
      <c r="G375" s="146">
        <v>1524</v>
      </c>
      <c r="H375" s="152"/>
    </row>
    <row r="376" spans="1:8" hidden="1" x14ac:dyDescent="0.25">
      <c r="A376" s="145" t="s">
        <v>1443</v>
      </c>
      <c r="B376" s="145" t="s">
        <v>1458</v>
      </c>
      <c r="C376" s="145" t="s">
        <v>1439</v>
      </c>
      <c r="D376" s="145" t="s">
        <v>1453</v>
      </c>
      <c r="E376" s="149">
        <v>40667</v>
      </c>
      <c r="F376" s="146">
        <v>3</v>
      </c>
      <c r="G376" s="146">
        <v>1956</v>
      </c>
      <c r="H376" s="152"/>
    </row>
    <row r="377" spans="1:8" hidden="1" x14ac:dyDescent="0.25">
      <c r="A377" s="145" t="s">
        <v>1438</v>
      </c>
      <c r="B377" s="145" t="s">
        <v>1458</v>
      </c>
      <c r="C377" s="145" t="s">
        <v>1439</v>
      </c>
      <c r="D377" s="145" t="s">
        <v>1453</v>
      </c>
      <c r="E377" s="149">
        <v>40718</v>
      </c>
      <c r="F377" s="146">
        <v>3</v>
      </c>
      <c r="G377" s="146">
        <v>1977</v>
      </c>
      <c r="H377" s="152"/>
    </row>
    <row r="378" spans="1:8" hidden="1" x14ac:dyDescent="0.25">
      <c r="A378" s="145" t="s">
        <v>1454</v>
      </c>
      <c r="B378" s="145" t="s">
        <v>1458</v>
      </c>
      <c r="C378" s="145" t="s">
        <v>1445</v>
      </c>
      <c r="D378" s="145" t="s">
        <v>1452</v>
      </c>
      <c r="E378" s="149">
        <v>40276</v>
      </c>
      <c r="F378" s="146">
        <v>3</v>
      </c>
      <c r="G378" s="146">
        <v>990</v>
      </c>
      <c r="H378" s="152"/>
    </row>
    <row r="379" spans="1:8" hidden="1" x14ac:dyDescent="0.25">
      <c r="A379" s="145" t="s">
        <v>1456</v>
      </c>
      <c r="B379" s="145" t="s">
        <v>1458</v>
      </c>
      <c r="C379" s="145" t="s">
        <v>1436</v>
      </c>
      <c r="D379" s="145" t="s">
        <v>1452</v>
      </c>
      <c r="E379" s="149">
        <v>40864</v>
      </c>
      <c r="F379" s="146">
        <v>3</v>
      </c>
      <c r="G379" s="146">
        <v>1920</v>
      </c>
      <c r="H379" s="152"/>
    </row>
    <row r="380" spans="1:8" hidden="1" x14ac:dyDescent="0.25">
      <c r="A380" s="145" t="s">
        <v>1444</v>
      </c>
      <c r="B380" s="145" t="s">
        <v>1458</v>
      </c>
      <c r="C380" s="145" t="s">
        <v>1445</v>
      </c>
      <c r="D380" s="145" t="s">
        <v>1450</v>
      </c>
      <c r="E380" s="149">
        <v>40501</v>
      </c>
      <c r="F380" s="146">
        <v>3</v>
      </c>
      <c r="G380" s="146">
        <v>1521</v>
      </c>
      <c r="H380" s="152"/>
    </row>
    <row r="381" spans="1:8" hidden="1" x14ac:dyDescent="0.25">
      <c r="A381" s="145" t="s">
        <v>1443</v>
      </c>
      <c r="B381" s="145" t="s">
        <v>1458</v>
      </c>
      <c r="C381" s="145" t="s">
        <v>1441</v>
      </c>
      <c r="D381" s="145" t="s">
        <v>1450</v>
      </c>
      <c r="E381" s="149">
        <v>40414</v>
      </c>
      <c r="F381" s="146">
        <v>3</v>
      </c>
      <c r="G381" s="146">
        <v>1044</v>
      </c>
      <c r="H381" s="152"/>
    </row>
    <row r="382" spans="1:8" hidden="1" x14ac:dyDescent="0.25">
      <c r="A382" s="145" t="s">
        <v>1446</v>
      </c>
      <c r="B382" s="145" t="s">
        <v>1458</v>
      </c>
      <c r="C382" s="145" t="s">
        <v>1441</v>
      </c>
      <c r="D382" s="145" t="s">
        <v>1450</v>
      </c>
      <c r="E382" s="149">
        <v>40728</v>
      </c>
      <c r="F382" s="146">
        <v>3</v>
      </c>
      <c r="G382" s="146">
        <v>1473</v>
      </c>
      <c r="H382" s="152"/>
    </row>
    <row r="383" spans="1:8" hidden="1" x14ac:dyDescent="0.25">
      <c r="A383" s="145" t="s">
        <v>1456</v>
      </c>
      <c r="B383" s="145" t="s">
        <v>1458</v>
      </c>
      <c r="C383" s="145" t="s">
        <v>1439</v>
      </c>
      <c r="D383" s="145" t="s">
        <v>1450</v>
      </c>
      <c r="E383" s="149">
        <v>40539</v>
      </c>
      <c r="F383" s="146">
        <v>3</v>
      </c>
      <c r="G383" s="146">
        <v>1857</v>
      </c>
      <c r="H383" s="152"/>
    </row>
    <row r="384" spans="1:8" hidden="1" x14ac:dyDescent="0.25">
      <c r="A384" s="145" t="s">
        <v>1454</v>
      </c>
      <c r="B384" s="145" t="s">
        <v>1458</v>
      </c>
      <c r="C384" s="145" t="s">
        <v>1439</v>
      </c>
      <c r="D384" s="145" t="s">
        <v>1450</v>
      </c>
      <c r="E384" s="149">
        <v>40865</v>
      </c>
      <c r="F384" s="146">
        <v>3</v>
      </c>
      <c r="G384" s="146">
        <v>1728</v>
      </c>
      <c r="H384" s="152"/>
    </row>
    <row r="385" spans="1:8" hidden="1" x14ac:dyDescent="0.25">
      <c r="A385" s="145" t="s">
        <v>1451</v>
      </c>
      <c r="B385" s="145" t="s">
        <v>1458</v>
      </c>
      <c r="C385" s="145" t="s">
        <v>1445</v>
      </c>
      <c r="D385" s="145" t="s">
        <v>1455</v>
      </c>
      <c r="E385" s="149">
        <v>40238</v>
      </c>
      <c r="F385" s="146">
        <v>4</v>
      </c>
      <c r="G385" s="150">
        <v>2632</v>
      </c>
      <c r="H385" s="152"/>
    </row>
    <row r="386" spans="1:8" hidden="1" x14ac:dyDescent="0.25">
      <c r="A386" s="145" t="s">
        <v>1442</v>
      </c>
      <c r="B386" s="145" t="s">
        <v>1458</v>
      </c>
      <c r="C386" s="145" t="s">
        <v>1439</v>
      </c>
      <c r="D386" s="145" t="s">
        <v>1455</v>
      </c>
      <c r="E386" s="149">
        <v>40319</v>
      </c>
      <c r="F386" s="146">
        <v>4</v>
      </c>
      <c r="G386" s="146">
        <v>1852</v>
      </c>
      <c r="H386" s="152"/>
    </row>
    <row r="387" spans="1:8" hidden="1" x14ac:dyDescent="0.25">
      <c r="A387" s="145" t="s">
        <v>1449</v>
      </c>
      <c r="B387" s="145" t="s">
        <v>1458</v>
      </c>
      <c r="C387" s="145" t="s">
        <v>1436</v>
      </c>
      <c r="D387" s="145" t="s">
        <v>1455</v>
      </c>
      <c r="E387" s="149">
        <v>40499</v>
      </c>
      <c r="F387" s="146">
        <v>4</v>
      </c>
      <c r="G387" s="146">
        <v>1884</v>
      </c>
      <c r="H387" s="152"/>
    </row>
    <row r="388" spans="1:8" hidden="1" x14ac:dyDescent="0.25">
      <c r="A388" s="145" t="s">
        <v>1440</v>
      </c>
      <c r="B388" s="145" t="s">
        <v>1458</v>
      </c>
      <c r="C388" s="145" t="s">
        <v>1436</v>
      </c>
      <c r="D388" s="145" t="s">
        <v>1455</v>
      </c>
      <c r="E388" s="149">
        <v>40572</v>
      </c>
      <c r="F388" s="146">
        <v>4</v>
      </c>
      <c r="G388" s="146">
        <v>1240</v>
      </c>
      <c r="H388" s="152"/>
    </row>
    <row r="389" spans="1:8" hidden="1" x14ac:dyDescent="0.25">
      <c r="A389" s="145" t="s">
        <v>1442</v>
      </c>
      <c r="B389" s="145" t="s">
        <v>1458</v>
      </c>
      <c r="C389" s="145" t="s">
        <v>1436</v>
      </c>
      <c r="D389" s="145" t="s">
        <v>1455</v>
      </c>
      <c r="E389" s="149">
        <v>40890</v>
      </c>
      <c r="F389" s="146">
        <v>4</v>
      </c>
      <c r="G389" s="146">
        <v>2436</v>
      </c>
      <c r="H389" s="152"/>
    </row>
    <row r="390" spans="1:8" hidden="1" x14ac:dyDescent="0.25">
      <c r="A390" s="145" t="s">
        <v>1440</v>
      </c>
      <c r="B390" s="145" t="s">
        <v>1458</v>
      </c>
      <c r="C390" s="145" t="s">
        <v>1445</v>
      </c>
      <c r="D390" s="145" t="s">
        <v>1453</v>
      </c>
      <c r="E390" s="149">
        <v>40694</v>
      </c>
      <c r="F390" s="146">
        <v>4</v>
      </c>
      <c r="G390" s="146">
        <v>2144</v>
      </c>
      <c r="H390" s="152"/>
    </row>
    <row r="391" spans="1:8" hidden="1" x14ac:dyDescent="0.25">
      <c r="A391" s="145" t="s">
        <v>1448</v>
      </c>
      <c r="B391" s="145" t="s">
        <v>1458</v>
      </c>
      <c r="C391" s="145" t="s">
        <v>1445</v>
      </c>
      <c r="D391" s="145" t="s">
        <v>1453</v>
      </c>
      <c r="E391" s="149">
        <v>40737</v>
      </c>
      <c r="F391" s="146">
        <v>4</v>
      </c>
      <c r="G391" s="146">
        <v>1360</v>
      </c>
      <c r="H391" s="152"/>
    </row>
    <row r="392" spans="1:8" hidden="1" x14ac:dyDescent="0.25">
      <c r="A392" s="145" t="s">
        <v>1449</v>
      </c>
      <c r="B392" s="145" t="s">
        <v>1458</v>
      </c>
      <c r="C392" s="145" t="s">
        <v>1441</v>
      </c>
      <c r="D392" s="145" t="s">
        <v>1452</v>
      </c>
      <c r="E392" s="149">
        <v>40456</v>
      </c>
      <c r="F392" s="146">
        <v>4</v>
      </c>
      <c r="G392" s="146">
        <v>2108</v>
      </c>
      <c r="H392" s="152"/>
    </row>
    <row r="393" spans="1:8" hidden="1" x14ac:dyDescent="0.25">
      <c r="A393" s="145" t="s">
        <v>1440</v>
      </c>
      <c r="B393" s="145" t="s">
        <v>1458</v>
      </c>
      <c r="C393" s="145" t="s">
        <v>1441</v>
      </c>
      <c r="D393" s="145" t="s">
        <v>1452</v>
      </c>
      <c r="E393" s="149">
        <v>40548</v>
      </c>
      <c r="F393" s="146">
        <v>4</v>
      </c>
      <c r="G393" s="146">
        <v>2348</v>
      </c>
      <c r="H393" s="152"/>
    </row>
    <row r="394" spans="1:8" hidden="1" x14ac:dyDescent="0.25">
      <c r="A394" s="145" t="s">
        <v>1438</v>
      </c>
      <c r="B394" s="145" t="s">
        <v>1458</v>
      </c>
      <c r="C394" s="145" t="s">
        <v>1441</v>
      </c>
      <c r="D394" s="145" t="s">
        <v>1452</v>
      </c>
      <c r="E394" s="149">
        <v>40732</v>
      </c>
      <c r="F394" s="146">
        <v>4</v>
      </c>
      <c r="G394" s="146">
        <v>2292</v>
      </c>
      <c r="H394" s="152"/>
    </row>
    <row r="395" spans="1:8" hidden="1" x14ac:dyDescent="0.25">
      <c r="A395" s="145" t="s">
        <v>1444</v>
      </c>
      <c r="B395" s="145" t="s">
        <v>1458</v>
      </c>
      <c r="C395" s="145" t="s">
        <v>1439</v>
      </c>
      <c r="D395" s="145" t="s">
        <v>1452</v>
      </c>
      <c r="E395" s="149">
        <v>40541</v>
      </c>
      <c r="F395" s="146">
        <v>4</v>
      </c>
      <c r="G395" s="146">
        <v>2564</v>
      </c>
      <c r="H395" s="152"/>
    </row>
    <row r="396" spans="1:8" hidden="1" x14ac:dyDescent="0.25">
      <c r="A396" s="145" t="s">
        <v>1451</v>
      </c>
      <c r="B396" s="145" t="s">
        <v>1458</v>
      </c>
      <c r="C396" s="145" t="s">
        <v>1436</v>
      </c>
      <c r="D396" s="145" t="s">
        <v>1450</v>
      </c>
      <c r="E396" s="149">
        <v>40430</v>
      </c>
      <c r="F396" s="146">
        <v>4</v>
      </c>
      <c r="G396" s="146">
        <v>1244</v>
      </c>
      <c r="H396" s="152"/>
    </row>
    <row r="397" spans="1:8" hidden="1" x14ac:dyDescent="0.25">
      <c r="A397" s="145" t="s">
        <v>1451</v>
      </c>
      <c r="B397" s="145" t="s">
        <v>1458</v>
      </c>
      <c r="C397" s="145" t="s">
        <v>1436</v>
      </c>
      <c r="D397" s="145" t="s">
        <v>1450</v>
      </c>
      <c r="E397" s="149">
        <v>40446</v>
      </c>
      <c r="F397" s="146">
        <v>4</v>
      </c>
      <c r="G397" s="146">
        <v>1352</v>
      </c>
      <c r="H397" s="152"/>
    </row>
    <row r="398" spans="1:8" hidden="1" x14ac:dyDescent="0.25">
      <c r="A398" s="145" t="s">
        <v>1448</v>
      </c>
      <c r="B398" s="145" t="s">
        <v>1458</v>
      </c>
      <c r="C398" s="145" t="s">
        <v>1445</v>
      </c>
      <c r="D398" s="145" t="s">
        <v>1455</v>
      </c>
      <c r="E398" s="149">
        <v>40351</v>
      </c>
      <c r="F398" s="146">
        <v>5</v>
      </c>
      <c r="G398" s="146">
        <v>2505</v>
      </c>
      <c r="H398" s="152"/>
    </row>
    <row r="399" spans="1:8" hidden="1" x14ac:dyDescent="0.25">
      <c r="A399" s="145" t="s">
        <v>1440</v>
      </c>
      <c r="B399" s="145" t="s">
        <v>1458</v>
      </c>
      <c r="C399" s="145" t="s">
        <v>1441</v>
      </c>
      <c r="D399" s="145" t="s">
        <v>1452</v>
      </c>
      <c r="E399" s="149">
        <v>40498</v>
      </c>
      <c r="F399" s="146">
        <v>5</v>
      </c>
      <c r="G399" s="146">
        <v>2285</v>
      </c>
      <c r="H399" s="152"/>
    </row>
    <row r="400" spans="1:8" hidden="1" x14ac:dyDescent="0.25">
      <c r="A400" s="145" t="s">
        <v>1448</v>
      </c>
      <c r="B400" s="145" t="s">
        <v>1458</v>
      </c>
      <c r="C400" s="145" t="s">
        <v>1445</v>
      </c>
      <c r="D400" s="145" t="s">
        <v>1450</v>
      </c>
      <c r="E400" s="149">
        <v>40757</v>
      </c>
      <c r="F400" s="146">
        <v>5</v>
      </c>
      <c r="G400" s="146">
        <v>1590</v>
      </c>
      <c r="H400" s="152"/>
    </row>
    <row r="401" spans="1:8" hidden="1" x14ac:dyDescent="0.25">
      <c r="A401" s="145" t="s">
        <v>1440</v>
      </c>
      <c r="B401" s="145" t="s">
        <v>1458</v>
      </c>
      <c r="C401" s="145" t="s">
        <v>1445</v>
      </c>
      <c r="D401" s="145" t="s">
        <v>1450</v>
      </c>
      <c r="E401" s="149">
        <v>40767</v>
      </c>
      <c r="F401" s="146">
        <v>5</v>
      </c>
      <c r="G401" s="146">
        <v>2705</v>
      </c>
      <c r="H401" s="152"/>
    </row>
    <row r="402" spans="1:8" hidden="1" x14ac:dyDescent="0.25">
      <c r="A402" s="145" t="s">
        <v>1456</v>
      </c>
      <c r="B402" s="145" t="s">
        <v>1458</v>
      </c>
      <c r="C402" s="145" t="s">
        <v>1441</v>
      </c>
      <c r="D402" s="145" t="s">
        <v>1450</v>
      </c>
      <c r="E402" s="149">
        <v>40890</v>
      </c>
      <c r="F402" s="146">
        <v>5</v>
      </c>
      <c r="G402" s="146">
        <v>3300</v>
      </c>
      <c r="H402" s="152"/>
    </row>
    <row r="403" spans="1:8" hidden="1" x14ac:dyDescent="0.25">
      <c r="A403" s="145" t="s">
        <v>1448</v>
      </c>
      <c r="B403" s="145" t="s">
        <v>1458</v>
      </c>
      <c r="C403" s="145" t="s">
        <v>1439</v>
      </c>
      <c r="D403" s="145" t="s">
        <v>1450</v>
      </c>
      <c r="E403" s="149">
        <v>40520</v>
      </c>
      <c r="F403" s="146">
        <v>5</v>
      </c>
      <c r="G403" s="146">
        <v>2935</v>
      </c>
      <c r="H403" s="152"/>
    </row>
    <row r="404" spans="1:8" hidden="1" x14ac:dyDescent="0.25">
      <c r="A404" s="145" t="s">
        <v>1447</v>
      </c>
      <c r="B404" s="145" t="s">
        <v>1458</v>
      </c>
      <c r="C404" s="145" t="s">
        <v>1441</v>
      </c>
      <c r="D404" s="145" t="s">
        <v>1455</v>
      </c>
      <c r="E404" s="149">
        <v>40344</v>
      </c>
      <c r="F404" s="146">
        <v>6</v>
      </c>
      <c r="G404" s="146">
        <v>3168</v>
      </c>
      <c r="H404" s="152"/>
    </row>
    <row r="405" spans="1:8" hidden="1" x14ac:dyDescent="0.25">
      <c r="A405" s="145" t="s">
        <v>1449</v>
      </c>
      <c r="B405" s="145" t="s">
        <v>1458</v>
      </c>
      <c r="C405" s="145" t="s">
        <v>1441</v>
      </c>
      <c r="D405" s="145" t="s">
        <v>1455</v>
      </c>
      <c r="E405" s="149">
        <v>40808</v>
      </c>
      <c r="F405" s="146">
        <v>6</v>
      </c>
      <c r="G405" s="146">
        <v>3180</v>
      </c>
      <c r="H405" s="152"/>
    </row>
    <row r="406" spans="1:8" hidden="1" x14ac:dyDescent="0.25">
      <c r="A406" s="145" t="s">
        <v>1447</v>
      </c>
      <c r="B406" s="145" t="s">
        <v>1458</v>
      </c>
      <c r="C406" s="145" t="s">
        <v>1441</v>
      </c>
      <c r="D406" s="145" t="s">
        <v>1435</v>
      </c>
      <c r="E406" s="149">
        <v>40323</v>
      </c>
      <c r="F406" s="146">
        <v>6</v>
      </c>
      <c r="G406" s="146">
        <v>3876</v>
      </c>
      <c r="H406" s="152"/>
    </row>
    <row r="407" spans="1:8" hidden="1" x14ac:dyDescent="0.25">
      <c r="A407" s="145" t="s">
        <v>1451</v>
      </c>
      <c r="B407" s="145" t="s">
        <v>1458</v>
      </c>
      <c r="C407" s="145" t="s">
        <v>1441</v>
      </c>
      <c r="D407" s="145" t="s">
        <v>1435</v>
      </c>
      <c r="E407" s="149">
        <v>40887</v>
      </c>
      <c r="F407" s="146">
        <v>6</v>
      </c>
      <c r="G407" s="146">
        <v>2046</v>
      </c>
      <c r="H407" s="152"/>
    </row>
    <row r="408" spans="1:8" hidden="1" x14ac:dyDescent="0.25">
      <c r="A408" s="145" t="s">
        <v>1451</v>
      </c>
      <c r="B408" s="145" t="s">
        <v>1458</v>
      </c>
      <c r="C408" s="145" t="s">
        <v>1439</v>
      </c>
      <c r="D408" s="145" t="s">
        <v>1435</v>
      </c>
      <c r="E408" s="149">
        <v>40551</v>
      </c>
      <c r="F408" s="146">
        <v>6</v>
      </c>
      <c r="G408" s="146">
        <v>3792</v>
      </c>
      <c r="H408" s="152"/>
    </row>
    <row r="409" spans="1:8" hidden="1" x14ac:dyDescent="0.25">
      <c r="A409" s="145" t="s">
        <v>1449</v>
      </c>
      <c r="B409" s="145" t="s">
        <v>1458</v>
      </c>
      <c r="C409" s="145" t="s">
        <v>1436</v>
      </c>
      <c r="D409" s="145" t="s">
        <v>1435</v>
      </c>
      <c r="E409" s="149">
        <v>40697</v>
      </c>
      <c r="F409" s="146">
        <v>6</v>
      </c>
      <c r="G409" s="146">
        <v>3150</v>
      </c>
      <c r="H409" s="152"/>
    </row>
    <row r="410" spans="1:8" hidden="1" x14ac:dyDescent="0.25">
      <c r="A410" s="145" t="s">
        <v>1446</v>
      </c>
      <c r="B410" s="145" t="s">
        <v>1458</v>
      </c>
      <c r="C410" s="145" t="s">
        <v>1436</v>
      </c>
      <c r="D410" s="145" t="s">
        <v>1435</v>
      </c>
      <c r="E410" s="149">
        <v>40821</v>
      </c>
      <c r="F410" s="146">
        <v>6</v>
      </c>
      <c r="G410" s="146">
        <v>1842</v>
      </c>
      <c r="H410" s="152"/>
    </row>
    <row r="411" spans="1:8" hidden="1" x14ac:dyDescent="0.25">
      <c r="A411" s="145" t="s">
        <v>1448</v>
      </c>
      <c r="B411" s="145" t="s">
        <v>1458</v>
      </c>
      <c r="C411" s="145" t="s">
        <v>1445</v>
      </c>
      <c r="D411" s="145" t="s">
        <v>1453</v>
      </c>
      <c r="E411" s="149">
        <v>40792</v>
      </c>
      <c r="F411" s="146">
        <v>6</v>
      </c>
      <c r="G411" s="146">
        <v>1896</v>
      </c>
      <c r="H411" s="152"/>
    </row>
    <row r="412" spans="1:8" hidden="1" x14ac:dyDescent="0.25">
      <c r="A412" s="145" t="s">
        <v>1454</v>
      </c>
      <c r="B412" s="145" t="s">
        <v>1458</v>
      </c>
      <c r="C412" s="145" t="s">
        <v>1441</v>
      </c>
      <c r="D412" s="145" t="s">
        <v>1453</v>
      </c>
      <c r="E412" s="149">
        <v>40550</v>
      </c>
      <c r="F412" s="146">
        <v>6</v>
      </c>
      <c r="G412" s="146">
        <v>3642</v>
      </c>
      <c r="H412" s="152"/>
    </row>
    <row r="413" spans="1:8" hidden="1" x14ac:dyDescent="0.25">
      <c r="A413" s="145" t="s">
        <v>1456</v>
      </c>
      <c r="B413" s="145" t="s">
        <v>1458</v>
      </c>
      <c r="C413" s="145" t="s">
        <v>1441</v>
      </c>
      <c r="D413" s="145" t="s">
        <v>1453</v>
      </c>
      <c r="E413" s="149">
        <v>40681</v>
      </c>
      <c r="F413" s="146">
        <v>6</v>
      </c>
      <c r="G413" s="146">
        <v>1860</v>
      </c>
      <c r="H413" s="152"/>
    </row>
    <row r="414" spans="1:8" hidden="1" x14ac:dyDescent="0.25">
      <c r="A414" s="145" t="s">
        <v>1449</v>
      </c>
      <c r="B414" s="145" t="s">
        <v>1458</v>
      </c>
      <c r="C414" s="145" t="s">
        <v>1436</v>
      </c>
      <c r="D414" s="145" t="s">
        <v>1453</v>
      </c>
      <c r="E414" s="149">
        <v>40858</v>
      </c>
      <c r="F414" s="146">
        <v>6</v>
      </c>
      <c r="G414" s="146">
        <v>2772</v>
      </c>
      <c r="H414" s="152"/>
    </row>
    <row r="415" spans="1:8" hidden="1" x14ac:dyDescent="0.25">
      <c r="A415" s="145" t="s">
        <v>1451</v>
      </c>
      <c r="B415" s="145" t="s">
        <v>1458</v>
      </c>
      <c r="C415" s="145" t="s">
        <v>1436</v>
      </c>
      <c r="D415" s="145" t="s">
        <v>1453</v>
      </c>
      <c r="E415" s="149">
        <v>40889</v>
      </c>
      <c r="F415" s="146">
        <v>6</v>
      </c>
      <c r="G415" s="146">
        <v>2052</v>
      </c>
      <c r="H415" s="152"/>
    </row>
    <row r="416" spans="1:8" hidden="1" x14ac:dyDescent="0.25">
      <c r="A416" s="145" t="s">
        <v>1451</v>
      </c>
      <c r="B416" s="145" t="s">
        <v>1458</v>
      </c>
      <c r="C416" s="145" t="s">
        <v>1439</v>
      </c>
      <c r="D416" s="145" t="s">
        <v>1452</v>
      </c>
      <c r="E416" s="149">
        <v>40452</v>
      </c>
      <c r="F416" s="146">
        <v>6</v>
      </c>
      <c r="G416" s="146">
        <v>1890</v>
      </c>
      <c r="H416" s="152"/>
    </row>
    <row r="417" spans="1:8" hidden="1" x14ac:dyDescent="0.25">
      <c r="A417" s="145" t="s">
        <v>1449</v>
      </c>
      <c r="B417" s="145" t="s">
        <v>1458</v>
      </c>
      <c r="C417" s="145" t="s">
        <v>1445</v>
      </c>
      <c r="D417" s="145" t="s">
        <v>1450</v>
      </c>
      <c r="E417" s="149">
        <v>40576</v>
      </c>
      <c r="F417" s="146">
        <v>6</v>
      </c>
      <c r="G417" s="146">
        <v>2814</v>
      </c>
      <c r="H417" s="152"/>
    </row>
    <row r="418" spans="1:8" hidden="1" x14ac:dyDescent="0.25">
      <c r="A418" s="145" t="s">
        <v>1447</v>
      </c>
      <c r="B418" s="145" t="s">
        <v>1458</v>
      </c>
      <c r="C418" s="145" t="s">
        <v>1441</v>
      </c>
      <c r="D418" s="145" t="s">
        <v>1450</v>
      </c>
      <c r="E418" s="149">
        <v>40806</v>
      </c>
      <c r="F418" s="146">
        <v>6</v>
      </c>
      <c r="G418" s="146">
        <v>1956</v>
      </c>
      <c r="H418" s="152"/>
    </row>
    <row r="419" spans="1:8" hidden="1" x14ac:dyDescent="0.25">
      <c r="A419" s="145" t="s">
        <v>1444</v>
      </c>
      <c r="B419" s="145" t="s">
        <v>1458</v>
      </c>
      <c r="C419" s="145" t="s">
        <v>1441</v>
      </c>
      <c r="D419" s="145" t="s">
        <v>1455</v>
      </c>
      <c r="E419" s="149">
        <v>40353</v>
      </c>
      <c r="F419" s="146">
        <v>7</v>
      </c>
      <c r="G419" s="146">
        <v>3241</v>
      </c>
      <c r="H419" s="152"/>
    </row>
    <row r="420" spans="1:8" hidden="1" x14ac:dyDescent="0.25">
      <c r="A420" s="145" t="s">
        <v>1447</v>
      </c>
      <c r="B420" s="145" t="s">
        <v>1458</v>
      </c>
      <c r="C420" s="145" t="s">
        <v>1441</v>
      </c>
      <c r="D420" s="145" t="s">
        <v>1455</v>
      </c>
      <c r="E420" s="149">
        <v>40666</v>
      </c>
      <c r="F420" s="146">
        <v>7</v>
      </c>
      <c r="G420" s="146">
        <v>2457</v>
      </c>
      <c r="H420" s="152"/>
    </row>
    <row r="421" spans="1:8" hidden="1" x14ac:dyDescent="0.25">
      <c r="A421" s="145" t="s">
        <v>1448</v>
      </c>
      <c r="B421" s="145" t="s">
        <v>1458</v>
      </c>
      <c r="C421" s="145" t="s">
        <v>1436</v>
      </c>
      <c r="D421" s="145" t="s">
        <v>1455</v>
      </c>
      <c r="E421" s="149">
        <v>40469</v>
      </c>
      <c r="F421" s="146">
        <v>7</v>
      </c>
      <c r="G421" s="146">
        <v>3248</v>
      </c>
      <c r="H421" s="152"/>
    </row>
    <row r="422" spans="1:8" hidden="1" x14ac:dyDescent="0.25">
      <c r="A422" s="145" t="s">
        <v>1448</v>
      </c>
      <c r="B422" s="145" t="s">
        <v>1458</v>
      </c>
      <c r="C422" s="145" t="s">
        <v>1436</v>
      </c>
      <c r="D422" s="145" t="s">
        <v>1435</v>
      </c>
      <c r="E422" s="149">
        <v>40380</v>
      </c>
      <c r="F422" s="146">
        <v>7</v>
      </c>
      <c r="G422" s="146">
        <v>2856</v>
      </c>
      <c r="H422" s="152"/>
    </row>
    <row r="423" spans="1:8" hidden="1" x14ac:dyDescent="0.25">
      <c r="A423" s="145" t="s">
        <v>1454</v>
      </c>
      <c r="B423" s="145" t="s">
        <v>1458</v>
      </c>
      <c r="C423" s="145" t="s">
        <v>1441</v>
      </c>
      <c r="D423" s="145" t="s">
        <v>1453</v>
      </c>
      <c r="E423" s="149">
        <v>40361</v>
      </c>
      <c r="F423" s="146">
        <v>7</v>
      </c>
      <c r="G423" s="146">
        <v>2716</v>
      </c>
      <c r="H423" s="152"/>
    </row>
    <row r="424" spans="1:8" hidden="1" x14ac:dyDescent="0.25">
      <c r="A424" s="145" t="s">
        <v>1449</v>
      </c>
      <c r="B424" s="145" t="s">
        <v>1458</v>
      </c>
      <c r="C424" s="145" t="s">
        <v>1436</v>
      </c>
      <c r="D424" s="145" t="s">
        <v>1453</v>
      </c>
      <c r="E424" s="149">
        <v>40850</v>
      </c>
      <c r="F424" s="146">
        <v>7</v>
      </c>
      <c r="G424" s="146">
        <v>2737</v>
      </c>
      <c r="H424" s="152"/>
    </row>
    <row r="425" spans="1:8" hidden="1" x14ac:dyDescent="0.25">
      <c r="A425" s="145" t="s">
        <v>1449</v>
      </c>
      <c r="B425" s="145" t="s">
        <v>1458</v>
      </c>
      <c r="C425" s="145" t="s">
        <v>1436</v>
      </c>
      <c r="D425" s="145" t="s">
        <v>1453</v>
      </c>
      <c r="E425" s="149">
        <v>40890</v>
      </c>
      <c r="F425" s="146">
        <v>7</v>
      </c>
      <c r="G425" s="146">
        <v>3346</v>
      </c>
      <c r="H425" s="152"/>
    </row>
    <row r="426" spans="1:8" hidden="1" x14ac:dyDescent="0.25">
      <c r="A426" s="145" t="s">
        <v>1447</v>
      </c>
      <c r="B426" s="145" t="s">
        <v>1458</v>
      </c>
      <c r="C426" s="145" t="s">
        <v>1436</v>
      </c>
      <c r="D426" s="145" t="s">
        <v>1450</v>
      </c>
      <c r="E426" s="149">
        <v>40582</v>
      </c>
      <c r="F426" s="146">
        <v>7</v>
      </c>
      <c r="G426" s="146">
        <v>2632</v>
      </c>
      <c r="H426" s="152"/>
    </row>
    <row r="427" spans="1:8" hidden="1" x14ac:dyDescent="0.25">
      <c r="A427" s="145" t="s">
        <v>1456</v>
      </c>
      <c r="B427" s="145" t="s">
        <v>1458</v>
      </c>
      <c r="C427" s="145" t="s">
        <v>1445</v>
      </c>
      <c r="D427" s="145" t="s">
        <v>1435</v>
      </c>
      <c r="E427" s="149">
        <v>40642</v>
      </c>
      <c r="F427" s="146">
        <v>8</v>
      </c>
      <c r="G427" s="146">
        <v>4928</v>
      </c>
      <c r="H427" s="152"/>
    </row>
    <row r="428" spans="1:8" hidden="1" x14ac:dyDescent="0.25">
      <c r="A428" s="145" t="s">
        <v>1449</v>
      </c>
      <c r="B428" s="145" t="s">
        <v>1458</v>
      </c>
      <c r="C428" s="145" t="s">
        <v>1441</v>
      </c>
      <c r="D428" s="145" t="s">
        <v>1435</v>
      </c>
      <c r="E428" s="149">
        <v>40726</v>
      </c>
      <c r="F428" s="146">
        <v>8</v>
      </c>
      <c r="G428" s="146">
        <v>4600</v>
      </c>
      <c r="H428" s="152"/>
    </row>
    <row r="429" spans="1:8" hidden="1" x14ac:dyDescent="0.25">
      <c r="A429" s="145" t="s">
        <v>1449</v>
      </c>
      <c r="B429" s="145" t="s">
        <v>1458</v>
      </c>
      <c r="C429" s="145" t="s">
        <v>1439</v>
      </c>
      <c r="D429" s="145" t="s">
        <v>1435</v>
      </c>
      <c r="E429" s="149">
        <v>40218</v>
      </c>
      <c r="F429" s="146">
        <v>8</v>
      </c>
      <c r="G429" s="146">
        <v>5280</v>
      </c>
      <c r="H429" s="152"/>
    </row>
    <row r="430" spans="1:8" hidden="1" x14ac:dyDescent="0.25">
      <c r="A430" s="145" t="s">
        <v>1443</v>
      </c>
      <c r="B430" s="145" t="s">
        <v>1458</v>
      </c>
      <c r="C430" s="145" t="s">
        <v>1439</v>
      </c>
      <c r="D430" s="145" t="s">
        <v>1435</v>
      </c>
      <c r="E430" s="149">
        <v>40606</v>
      </c>
      <c r="F430" s="146">
        <v>8</v>
      </c>
      <c r="G430" s="146">
        <v>4424</v>
      </c>
      <c r="H430" s="152"/>
    </row>
    <row r="431" spans="1:8" hidden="1" x14ac:dyDescent="0.25">
      <c r="A431" s="145" t="s">
        <v>1438</v>
      </c>
      <c r="B431" s="145" t="s">
        <v>1458</v>
      </c>
      <c r="C431" s="145" t="s">
        <v>1439</v>
      </c>
      <c r="D431" s="145" t="s">
        <v>1435</v>
      </c>
      <c r="E431" s="149">
        <v>40765</v>
      </c>
      <c r="F431" s="146">
        <v>8</v>
      </c>
      <c r="G431" s="146">
        <v>5600</v>
      </c>
      <c r="H431" s="152"/>
    </row>
    <row r="432" spans="1:8" hidden="1" x14ac:dyDescent="0.25">
      <c r="A432" s="145" t="s">
        <v>1449</v>
      </c>
      <c r="B432" s="145" t="s">
        <v>1458</v>
      </c>
      <c r="C432" s="145" t="s">
        <v>1439</v>
      </c>
      <c r="D432" s="145" t="s">
        <v>1435</v>
      </c>
      <c r="E432" s="149">
        <v>40823</v>
      </c>
      <c r="F432" s="146">
        <v>8</v>
      </c>
      <c r="G432" s="146">
        <v>4264</v>
      </c>
      <c r="H432" s="152"/>
    </row>
    <row r="433" spans="1:8" hidden="1" x14ac:dyDescent="0.25">
      <c r="A433" s="145" t="s">
        <v>1448</v>
      </c>
      <c r="B433" s="145" t="s">
        <v>1458</v>
      </c>
      <c r="C433" s="145" t="s">
        <v>1436</v>
      </c>
      <c r="D433" s="145" t="s">
        <v>1453</v>
      </c>
      <c r="E433" s="149">
        <v>40226</v>
      </c>
      <c r="F433" s="146">
        <v>8</v>
      </c>
      <c r="G433" s="150">
        <v>3904</v>
      </c>
      <c r="H433" s="152"/>
    </row>
    <row r="434" spans="1:8" hidden="1" x14ac:dyDescent="0.25">
      <c r="A434" s="145" t="s">
        <v>1451</v>
      </c>
      <c r="B434" s="145" t="s">
        <v>1458</v>
      </c>
      <c r="C434" s="145" t="s">
        <v>1436</v>
      </c>
      <c r="D434" s="145" t="s">
        <v>1453</v>
      </c>
      <c r="E434" s="149">
        <v>40386</v>
      </c>
      <c r="F434" s="146">
        <v>8</v>
      </c>
      <c r="G434" s="146">
        <v>5552</v>
      </c>
      <c r="H434" s="152"/>
    </row>
    <row r="435" spans="1:8" hidden="1" x14ac:dyDescent="0.25">
      <c r="A435" s="145" t="s">
        <v>1451</v>
      </c>
      <c r="B435" s="145" t="s">
        <v>1458</v>
      </c>
      <c r="C435" s="145" t="s">
        <v>1439</v>
      </c>
      <c r="D435" s="145" t="s">
        <v>1452</v>
      </c>
      <c r="E435" s="149">
        <v>40904</v>
      </c>
      <c r="F435" s="146">
        <v>8</v>
      </c>
      <c r="G435" s="146">
        <v>2640</v>
      </c>
      <c r="H435" s="152"/>
    </row>
    <row r="436" spans="1:8" hidden="1" x14ac:dyDescent="0.25">
      <c r="A436" s="145" t="s">
        <v>1451</v>
      </c>
      <c r="B436" s="145" t="s">
        <v>1458</v>
      </c>
      <c r="C436" s="145" t="s">
        <v>1445</v>
      </c>
      <c r="D436" s="145" t="s">
        <v>1450</v>
      </c>
      <c r="E436" s="149">
        <v>40862</v>
      </c>
      <c r="F436" s="146">
        <v>8</v>
      </c>
      <c r="G436" s="146">
        <v>2872</v>
      </c>
      <c r="H436" s="152"/>
    </row>
    <row r="437" spans="1:8" hidden="1" x14ac:dyDescent="0.25">
      <c r="A437" s="145" t="s">
        <v>1446</v>
      </c>
      <c r="B437" s="145" t="s">
        <v>1458</v>
      </c>
      <c r="C437" s="145" t="s">
        <v>1441</v>
      </c>
      <c r="D437" s="145" t="s">
        <v>1450</v>
      </c>
      <c r="E437" s="149">
        <v>40407</v>
      </c>
      <c r="F437" s="146">
        <v>8</v>
      </c>
      <c r="G437" s="146">
        <v>2832</v>
      </c>
      <c r="H437" s="152"/>
    </row>
    <row r="438" spans="1:8" hidden="1" x14ac:dyDescent="0.25">
      <c r="A438" s="145" t="s">
        <v>1442</v>
      </c>
      <c r="B438" s="145" t="s">
        <v>1458</v>
      </c>
      <c r="C438" s="145" t="s">
        <v>1439</v>
      </c>
      <c r="D438" s="145" t="s">
        <v>1450</v>
      </c>
      <c r="E438" s="149">
        <v>40598</v>
      </c>
      <c r="F438" s="146">
        <v>8</v>
      </c>
      <c r="G438" s="146">
        <v>3976</v>
      </c>
      <c r="H438" s="152"/>
    </row>
    <row r="439" spans="1:8" hidden="1" x14ac:dyDescent="0.25">
      <c r="A439" s="145" t="s">
        <v>1446</v>
      </c>
      <c r="B439" s="145" t="s">
        <v>1458</v>
      </c>
      <c r="C439" s="145" t="s">
        <v>1445</v>
      </c>
      <c r="D439" s="145" t="s">
        <v>1455</v>
      </c>
      <c r="E439" s="149">
        <v>40512</v>
      </c>
      <c r="F439" s="146">
        <v>9</v>
      </c>
      <c r="G439" s="146">
        <v>5031</v>
      </c>
      <c r="H439" s="152"/>
    </row>
    <row r="440" spans="1:8" hidden="1" x14ac:dyDescent="0.25">
      <c r="A440" s="145" t="s">
        <v>1442</v>
      </c>
      <c r="B440" s="145" t="s">
        <v>1458</v>
      </c>
      <c r="C440" s="145" t="s">
        <v>1441</v>
      </c>
      <c r="D440" s="145" t="s">
        <v>1455</v>
      </c>
      <c r="E440" s="149">
        <v>40533</v>
      </c>
      <c r="F440" s="146">
        <v>9</v>
      </c>
      <c r="G440" s="146">
        <v>5085</v>
      </c>
      <c r="H440" s="152"/>
    </row>
    <row r="441" spans="1:8" hidden="1" x14ac:dyDescent="0.25">
      <c r="A441" s="145" t="s">
        <v>1451</v>
      </c>
      <c r="B441" s="145" t="s">
        <v>1458</v>
      </c>
      <c r="C441" s="145" t="s">
        <v>1439</v>
      </c>
      <c r="D441" s="145" t="s">
        <v>1455</v>
      </c>
      <c r="E441" s="149">
        <v>40570</v>
      </c>
      <c r="F441" s="146">
        <v>9</v>
      </c>
      <c r="G441" s="146">
        <v>2997</v>
      </c>
      <c r="H441" s="152"/>
    </row>
    <row r="442" spans="1:8" hidden="1" x14ac:dyDescent="0.25">
      <c r="A442" s="145" t="s">
        <v>1444</v>
      </c>
      <c r="B442" s="145" t="s">
        <v>1458</v>
      </c>
      <c r="C442" s="145" t="s">
        <v>1436</v>
      </c>
      <c r="D442" s="145" t="s">
        <v>1455</v>
      </c>
      <c r="E442" s="149">
        <v>40344</v>
      </c>
      <c r="F442" s="146">
        <v>9</v>
      </c>
      <c r="G442" s="146">
        <v>4725</v>
      </c>
      <c r="H442" s="152"/>
    </row>
    <row r="443" spans="1:8" hidden="1" x14ac:dyDescent="0.25">
      <c r="A443" s="145" t="s">
        <v>1448</v>
      </c>
      <c r="B443" s="145" t="s">
        <v>1458</v>
      </c>
      <c r="C443" s="145" t="s">
        <v>1445</v>
      </c>
      <c r="D443" s="145" t="s">
        <v>1435</v>
      </c>
      <c r="E443" s="149">
        <v>40424</v>
      </c>
      <c r="F443" s="146">
        <v>9</v>
      </c>
      <c r="G443" s="146">
        <v>5724</v>
      </c>
      <c r="H443" s="152"/>
    </row>
    <row r="444" spans="1:8" hidden="1" x14ac:dyDescent="0.25">
      <c r="A444" s="145" t="s">
        <v>1447</v>
      </c>
      <c r="B444" s="145" t="s">
        <v>1458</v>
      </c>
      <c r="C444" s="145" t="s">
        <v>1441</v>
      </c>
      <c r="D444" s="145" t="s">
        <v>1435</v>
      </c>
      <c r="E444" s="149">
        <v>40320</v>
      </c>
      <c r="F444" s="146">
        <v>9</v>
      </c>
      <c r="G444" s="146">
        <v>3969</v>
      </c>
      <c r="H444" s="152"/>
    </row>
    <row r="445" spans="1:8" hidden="1" x14ac:dyDescent="0.25">
      <c r="A445" s="145" t="s">
        <v>1442</v>
      </c>
      <c r="B445" s="145" t="s">
        <v>1458</v>
      </c>
      <c r="C445" s="145" t="s">
        <v>1436</v>
      </c>
      <c r="D445" s="145" t="s">
        <v>1435</v>
      </c>
      <c r="E445" s="149">
        <v>40539</v>
      </c>
      <c r="F445" s="146">
        <v>9</v>
      </c>
      <c r="G445" s="146">
        <v>5238</v>
      </c>
      <c r="H445" s="152"/>
    </row>
    <row r="446" spans="1:8" hidden="1" x14ac:dyDescent="0.25">
      <c r="A446" s="145" t="s">
        <v>1449</v>
      </c>
      <c r="B446" s="145" t="s">
        <v>1458</v>
      </c>
      <c r="C446" s="145" t="s">
        <v>1436</v>
      </c>
      <c r="D446" s="145" t="s">
        <v>1435</v>
      </c>
      <c r="E446" s="149">
        <v>40852</v>
      </c>
      <c r="F446" s="146">
        <v>9</v>
      </c>
      <c r="G446" s="146">
        <v>3681</v>
      </c>
      <c r="H446" s="152"/>
    </row>
    <row r="447" spans="1:8" hidden="1" x14ac:dyDescent="0.25">
      <c r="A447" s="145" t="s">
        <v>1444</v>
      </c>
      <c r="B447" s="145" t="s">
        <v>1458</v>
      </c>
      <c r="C447" s="145" t="s">
        <v>1441</v>
      </c>
      <c r="D447" s="145" t="s">
        <v>1452</v>
      </c>
      <c r="E447" s="149">
        <v>40323</v>
      </c>
      <c r="F447" s="146">
        <v>9</v>
      </c>
      <c r="G447" s="146">
        <v>3780</v>
      </c>
      <c r="H447" s="152"/>
    </row>
    <row r="448" spans="1:8" hidden="1" x14ac:dyDescent="0.25">
      <c r="A448" s="145" t="s">
        <v>1440</v>
      </c>
      <c r="B448" s="145" t="s">
        <v>1458</v>
      </c>
      <c r="C448" s="145" t="s">
        <v>1436</v>
      </c>
      <c r="D448" s="145" t="s">
        <v>1452</v>
      </c>
      <c r="E448" s="149">
        <v>40626</v>
      </c>
      <c r="F448" s="146">
        <v>9</v>
      </c>
      <c r="G448" s="146">
        <v>5220</v>
      </c>
      <c r="H448" s="152"/>
    </row>
    <row r="449" spans="1:8" hidden="1" x14ac:dyDescent="0.25">
      <c r="A449" s="145" t="s">
        <v>1456</v>
      </c>
      <c r="B449" s="145" t="s">
        <v>1458</v>
      </c>
      <c r="C449" s="145" t="s">
        <v>1445</v>
      </c>
      <c r="D449" s="145" t="s">
        <v>1450</v>
      </c>
      <c r="E449" s="149">
        <v>40637</v>
      </c>
      <c r="F449" s="146">
        <v>9</v>
      </c>
      <c r="G449" s="146">
        <v>5445</v>
      </c>
      <c r="H449" s="152"/>
    </row>
    <row r="450" spans="1:8" hidden="1" x14ac:dyDescent="0.25">
      <c r="A450" s="145" t="s">
        <v>1456</v>
      </c>
      <c r="B450" s="145" t="s">
        <v>1458</v>
      </c>
      <c r="C450" s="145" t="s">
        <v>1436</v>
      </c>
      <c r="D450" s="145" t="s">
        <v>1450</v>
      </c>
      <c r="E450" s="149">
        <v>40852</v>
      </c>
      <c r="F450" s="146">
        <v>9</v>
      </c>
      <c r="G450" s="146">
        <v>3555</v>
      </c>
      <c r="H450" s="152"/>
    </row>
    <row r="451" spans="1:8" hidden="1" x14ac:dyDescent="0.25">
      <c r="A451" s="145" t="s">
        <v>1448</v>
      </c>
      <c r="B451" s="145" t="s">
        <v>1458</v>
      </c>
      <c r="C451" s="145" t="s">
        <v>1439</v>
      </c>
      <c r="D451" s="145" t="s">
        <v>1455</v>
      </c>
      <c r="E451" s="149">
        <v>40824</v>
      </c>
      <c r="F451" s="146">
        <v>10</v>
      </c>
      <c r="G451" s="146">
        <v>6760</v>
      </c>
      <c r="H451" s="152"/>
    </row>
    <row r="452" spans="1:8" hidden="1" x14ac:dyDescent="0.25">
      <c r="A452" s="145" t="s">
        <v>1444</v>
      </c>
      <c r="B452" s="145" t="s">
        <v>1458</v>
      </c>
      <c r="C452" s="145" t="s">
        <v>1445</v>
      </c>
      <c r="D452" s="145" t="s">
        <v>1453</v>
      </c>
      <c r="E452" s="149">
        <v>40278</v>
      </c>
      <c r="F452" s="146">
        <v>10</v>
      </c>
      <c r="G452" s="146">
        <v>3130</v>
      </c>
      <c r="H452" s="152"/>
    </row>
    <row r="453" spans="1:8" hidden="1" x14ac:dyDescent="0.25">
      <c r="A453" s="145" t="s">
        <v>1454</v>
      </c>
      <c r="B453" s="145" t="s">
        <v>1458</v>
      </c>
      <c r="C453" s="145" t="s">
        <v>1436</v>
      </c>
      <c r="D453" s="145" t="s">
        <v>1453</v>
      </c>
      <c r="E453" s="149">
        <v>40812</v>
      </c>
      <c r="F453" s="146">
        <v>10</v>
      </c>
      <c r="G453" s="146">
        <v>6270</v>
      </c>
      <c r="H453" s="152"/>
    </row>
    <row r="454" spans="1:8" hidden="1" x14ac:dyDescent="0.25">
      <c r="A454" s="145" t="s">
        <v>1454</v>
      </c>
      <c r="B454" s="145" t="s">
        <v>1458</v>
      </c>
      <c r="C454" s="145" t="s">
        <v>1441</v>
      </c>
      <c r="D454" s="145" t="s">
        <v>1452</v>
      </c>
      <c r="E454" s="149">
        <v>40189</v>
      </c>
      <c r="F454" s="146">
        <v>10</v>
      </c>
      <c r="G454" s="150">
        <v>5720</v>
      </c>
      <c r="H454" s="152"/>
    </row>
    <row r="455" spans="1:8" hidden="1" x14ac:dyDescent="0.25">
      <c r="A455" s="145" t="s">
        <v>1438</v>
      </c>
      <c r="B455" s="145" t="s">
        <v>1458</v>
      </c>
      <c r="C455" s="145" t="s">
        <v>1439</v>
      </c>
      <c r="D455" s="145" t="s">
        <v>1452</v>
      </c>
      <c r="E455" s="149">
        <v>40192</v>
      </c>
      <c r="F455" s="146">
        <v>10</v>
      </c>
      <c r="G455" s="150">
        <v>4900</v>
      </c>
      <c r="H455" s="152"/>
    </row>
    <row r="456" spans="1:8" hidden="1" x14ac:dyDescent="0.25">
      <c r="A456" s="145" t="s">
        <v>1447</v>
      </c>
      <c r="B456" s="145" t="s">
        <v>1458</v>
      </c>
      <c r="C456" s="145" t="s">
        <v>1441</v>
      </c>
      <c r="D456" s="145" t="s">
        <v>1450</v>
      </c>
      <c r="E456" s="149">
        <v>40813</v>
      </c>
      <c r="F456" s="146">
        <v>10</v>
      </c>
      <c r="G456" s="146">
        <v>5870</v>
      </c>
      <c r="H456" s="152"/>
    </row>
    <row r="457" spans="1:8" hidden="1" x14ac:dyDescent="0.25">
      <c r="A457" s="145" t="s">
        <v>1454</v>
      </c>
      <c r="B457" s="145" t="s">
        <v>1458</v>
      </c>
      <c r="C457" s="145" t="s">
        <v>1436</v>
      </c>
      <c r="D457" s="145" t="s">
        <v>1455</v>
      </c>
      <c r="E457" s="149">
        <v>40242</v>
      </c>
      <c r="F457" s="146">
        <v>11</v>
      </c>
      <c r="G457" s="150">
        <v>3795</v>
      </c>
      <c r="H457" s="152"/>
    </row>
    <row r="458" spans="1:8" hidden="1" x14ac:dyDescent="0.25">
      <c r="A458" s="145" t="s">
        <v>1447</v>
      </c>
      <c r="B458" s="145" t="s">
        <v>1458</v>
      </c>
      <c r="C458" s="145" t="s">
        <v>1445</v>
      </c>
      <c r="D458" s="145" t="s">
        <v>1435</v>
      </c>
      <c r="E458" s="149">
        <v>40491</v>
      </c>
      <c r="F458" s="146">
        <v>11</v>
      </c>
      <c r="G458" s="146">
        <v>5005</v>
      </c>
      <c r="H458" s="152"/>
    </row>
    <row r="459" spans="1:8" hidden="1" x14ac:dyDescent="0.25">
      <c r="A459" s="145" t="s">
        <v>1454</v>
      </c>
      <c r="B459" s="145" t="s">
        <v>1458</v>
      </c>
      <c r="C459" s="145" t="s">
        <v>1441</v>
      </c>
      <c r="D459" s="145" t="s">
        <v>1435</v>
      </c>
      <c r="E459" s="149">
        <v>40190</v>
      </c>
      <c r="F459" s="146">
        <v>11</v>
      </c>
      <c r="G459" s="146">
        <v>4818</v>
      </c>
      <c r="H459" s="152"/>
    </row>
    <row r="460" spans="1:8" hidden="1" x14ac:dyDescent="0.25">
      <c r="A460" s="145" t="s">
        <v>1442</v>
      </c>
      <c r="B460" s="145" t="s">
        <v>1458</v>
      </c>
      <c r="C460" s="145" t="s">
        <v>1441</v>
      </c>
      <c r="D460" s="145" t="s">
        <v>1435</v>
      </c>
      <c r="E460" s="149">
        <v>40483</v>
      </c>
      <c r="F460" s="146">
        <v>11</v>
      </c>
      <c r="G460" s="146">
        <v>5698</v>
      </c>
      <c r="H460" s="152"/>
    </row>
    <row r="461" spans="1:8" hidden="1" x14ac:dyDescent="0.25">
      <c r="A461" s="145" t="s">
        <v>1449</v>
      </c>
      <c r="B461" s="145" t="s">
        <v>1458</v>
      </c>
      <c r="C461" s="145" t="s">
        <v>1439</v>
      </c>
      <c r="D461" s="145" t="s">
        <v>1453</v>
      </c>
      <c r="E461" s="149">
        <v>40529</v>
      </c>
      <c r="F461" s="146">
        <v>11</v>
      </c>
      <c r="G461" s="146">
        <v>4631</v>
      </c>
      <c r="H461" s="152"/>
    </row>
    <row r="462" spans="1:8" hidden="1" x14ac:dyDescent="0.25">
      <c r="A462" s="145" t="s">
        <v>1448</v>
      </c>
      <c r="B462" s="145" t="s">
        <v>1458</v>
      </c>
      <c r="C462" s="145" t="s">
        <v>1439</v>
      </c>
      <c r="D462" s="145" t="s">
        <v>1453</v>
      </c>
      <c r="E462" s="149">
        <v>40567</v>
      </c>
      <c r="F462" s="146">
        <v>11</v>
      </c>
      <c r="G462" s="146">
        <v>4664</v>
      </c>
      <c r="H462" s="152"/>
    </row>
    <row r="463" spans="1:8" hidden="1" x14ac:dyDescent="0.25">
      <c r="A463" s="145" t="s">
        <v>1444</v>
      </c>
      <c r="B463" s="145" t="s">
        <v>1458</v>
      </c>
      <c r="C463" s="145" t="s">
        <v>1445</v>
      </c>
      <c r="D463" s="145" t="s">
        <v>1452</v>
      </c>
      <c r="E463" s="149">
        <v>40222</v>
      </c>
      <c r="F463" s="146">
        <v>11</v>
      </c>
      <c r="G463" s="150">
        <v>6490</v>
      </c>
      <c r="H463" s="152"/>
    </row>
    <row r="464" spans="1:8" hidden="1" x14ac:dyDescent="0.25">
      <c r="A464" s="145" t="s">
        <v>1448</v>
      </c>
      <c r="B464" s="145" t="s">
        <v>1458</v>
      </c>
      <c r="C464" s="145" t="s">
        <v>1439</v>
      </c>
      <c r="D464" s="145" t="s">
        <v>1452</v>
      </c>
      <c r="E464" s="149">
        <v>40315</v>
      </c>
      <c r="F464" s="146">
        <v>11</v>
      </c>
      <c r="G464" s="146">
        <v>4565</v>
      </c>
      <c r="H464" s="152"/>
    </row>
    <row r="465" spans="1:8" hidden="1" x14ac:dyDescent="0.25">
      <c r="A465" s="145" t="s">
        <v>1448</v>
      </c>
      <c r="B465" s="145" t="s">
        <v>1458</v>
      </c>
      <c r="C465" s="145" t="s">
        <v>1436</v>
      </c>
      <c r="D465" s="145" t="s">
        <v>1452</v>
      </c>
      <c r="E465" s="149">
        <v>40487</v>
      </c>
      <c r="F465" s="146">
        <v>11</v>
      </c>
      <c r="G465" s="146">
        <v>5599</v>
      </c>
      <c r="H465" s="152"/>
    </row>
    <row r="466" spans="1:8" hidden="1" x14ac:dyDescent="0.25">
      <c r="A466" s="145" t="s">
        <v>1448</v>
      </c>
      <c r="B466" s="145" t="s">
        <v>1458</v>
      </c>
      <c r="C466" s="145" t="s">
        <v>1439</v>
      </c>
      <c r="D466" s="145" t="s">
        <v>1450</v>
      </c>
      <c r="E466" s="149">
        <v>40551</v>
      </c>
      <c r="F466" s="146">
        <v>11</v>
      </c>
      <c r="G466" s="146">
        <v>6908</v>
      </c>
      <c r="H466" s="152"/>
    </row>
    <row r="467" spans="1:8" hidden="1" x14ac:dyDescent="0.25">
      <c r="A467" s="145" t="s">
        <v>1454</v>
      </c>
      <c r="B467" s="145" t="s">
        <v>1458</v>
      </c>
      <c r="C467" s="145" t="s">
        <v>1441</v>
      </c>
      <c r="D467" s="145" t="s">
        <v>1455</v>
      </c>
      <c r="E467" s="149">
        <v>40886</v>
      </c>
      <c r="F467" s="146">
        <v>12</v>
      </c>
      <c r="G467" s="146">
        <v>8304</v>
      </c>
      <c r="H467" s="152"/>
    </row>
    <row r="468" spans="1:8" hidden="1" x14ac:dyDescent="0.25">
      <c r="A468" s="145" t="s">
        <v>1440</v>
      </c>
      <c r="B468" s="145" t="s">
        <v>1458</v>
      </c>
      <c r="C468" s="145" t="s">
        <v>1436</v>
      </c>
      <c r="D468" s="145" t="s">
        <v>1455</v>
      </c>
      <c r="E468" s="149">
        <v>40686</v>
      </c>
      <c r="F468" s="146">
        <v>12</v>
      </c>
      <c r="G468" s="146">
        <v>4932</v>
      </c>
      <c r="H468" s="152"/>
    </row>
    <row r="469" spans="1:8" hidden="1" x14ac:dyDescent="0.25">
      <c r="A469" s="145" t="s">
        <v>1438</v>
      </c>
      <c r="B469" s="145" t="s">
        <v>1458</v>
      </c>
      <c r="C469" s="145" t="s">
        <v>1445</v>
      </c>
      <c r="D469" s="145" t="s">
        <v>1435</v>
      </c>
      <c r="E469" s="149">
        <v>40386</v>
      </c>
      <c r="F469" s="146">
        <v>12</v>
      </c>
      <c r="G469" s="146">
        <v>4104</v>
      </c>
      <c r="H469" s="152"/>
    </row>
    <row r="470" spans="1:8" hidden="1" x14ac:dyDescent="0.25">
      <c r="A470" s="145" t="s">
        <v>1442</v>
      </c>
      <c r="B470" s="145" t="s">
        <v>1458</v>
      </c>
      <c r="C470" s="145" t="s">
        <v>1441</v>
      </c>
      <c r="D470" s="145" t="s">
        <v>1453</v>
      </c>
      <c r="E470" s="149">
        <v>40534</v>
      </c>
      <c r="F470" s="146">
        <v>12</v>
      </c>
      <c r="G470" s="146">
        <v>6288</v>
      </c>
      <c r="H470" s="152"/>
    </row>
    <row r="471" spans="1:8" hidden="1" x14ac:dyDescent="0.25">
      <c r="A471" s="145" t="s">
        <v>1438</v>
      </c>
      <c r="B471" s="145" t="s">
        <v>1458</v>
      </c>
      <c r="C471" s="145" t="s">
        <v>1439</v>
      </c>
      <c r="D471" s="145" t="s">
        <v>1453</v>
      </c>
      <c r="E471" s="149">
        <v>40653</v>
      </c>
      <c r="F471" s="146">
        <v>12</v>
      </c>
      <c r="G471" s="146">
        <v>6048</v>
      </c>
      <c r="H471" s="152"/>
    </row>
    <row r="472" spans="1:8" hidden="1" x14ac:dyDescent="0.25">
      <c r="A472" s="145" t="s">
        <v>1448</v>
      </c>
      <c r="B472" s="145" t="s">
        <v>1458</v>
      </c>
      <c r="C472" s="145" t="s">
        <v>1436</v>
      </c>
      <c r="D472" s="145" t="s">
        <v>1453</v>
      </c>
      <c r="E472" s="149">
        <v>40477</v>
      </c>
      <c r="F472" s="146">
        <v>12</v>
      </c>
      <c r="G472" s="146">
        <v>4764</v>
      </c>
      <c r="H472" s="152"/>
    </row>
    <row r="473" spans="1:8" hidden="1" x14ac:dyDescent="0.25">
      <c r="A473" s="145" t="s">
        <v>1444</v>
      </c>
      <c r="B473" s="145" t="s">
        <v>1458</v>
      </c>
      <c r="C473" s="145" t="s">
        <v>1436</v>
      </c>
      <c r="D473" s="145" t="s">
        <v>1452</v>
      </c>
      <c r="E473" s="149">
        <v>40254</v>
      </c>
      <c r="F473" s="146">
        <v>12</v>
      </c>
      <c r="G473" s="146">
        <v>4104</v>
      </c>
      <c r="H473" s="152"/>
    </row>
    <row r="474" spans="1:8" hidden="1" x14ac:dyDescent="0.25">
      <c r="A474" s="145" t="s">
        <v>1438</v>
      </c>
      <c r="B474" s="145" t="s">
        <v>1458</v>
      </c>
      <c r="C474" s="145" t="s">
        <v>1445</v>
      </c>
      <c r="D474" s="145" t="s">
        <v>1450</v>
      </c>
      <c r="E474" s="149">
        <v>40296</v>
      </c>
      <c r="F474" s="146">
        <v>12</v>
      </c>
      <c r="G474" s="146">
        <v>3768</v>
      </c>
      <c r="H474" s="152"/>
    </row>
    <row r="475" spans="1:8" hidden="1" x14ac:dyDescent="0.25">
      <c r="A475" s="145" t="s">
        <v>1438</v>
      </c>
      <c r="B475" s="145" t="s">
        <v>1458</v>
      </c>
      <c r="C475" s="145" t="s">
        <v>1445</v>
      </c>
      <c r="D475" s="145" t="s">
        <v>1450</v>
      </c>
      <c r="E475" s="149">
        <v>40421</v>
      </c>
      <c r="F475" s="146">
        <v>12</v>
      </c>
      <c r="G475" s="146">
        <v>3624</v>
      </c>
      <c r="H475" s="152"/>
    </row>
    <row r="476" spans="1:8" hidden="1" x14ac:dyDescent="0.25">
      <c r="A476" s="145" t="s">
        <v>1447</v>
      </c>
      <c r="B476" s="145" t="s">
        <v>1458</v>
      </c>
      <c r="C476" s="145" t="s">
        <v>1445</v>
      </c>
      <c r="D476" s="145" t="s">
        <v>1450</v>
      </c>
      <c r="E476" s="149">
        <v>40780</v>
      </c>
      <c r="F476" s="146">
        <v>12</v>
      </c>
      <c r="G476" s="146">
        <v>6456</v>
      </c>
      <c r="H476" s="152"/>
    </row>
    <row r="477" spans="1:8" hidden="1" x14ac:dyDescent="0.25">
      <c r="A477" s="145" t="s">
        <v>1448</v>
      </c>
      <c r="B477" s="145" t="s">
        <v>1458</v>
      </c>
      <c r="C477" s="145" t="s">
        <v>1445</v>
      </c>
      <c r="D477" s="145" t="s">
        <v>1450</v>
      </c>
      <c r="E477" s="149">
        <v>40822</v>
      </c>
      <c r="F477" s="146">
        <v>12</v>
      </c>
      <c r="G477" s="146">
        <v>5592</v>
      </c>
      <c r="H477" s="152"/>
    </row>
    <row r="478" spans="1:8" hidden="1" x14ac:dyDescent="0.25">
      <c r="A478" s="145" t="s">
        <v>1447</v>
      </c>
      <c r="B478" s="145" t="s">
        <v>1458</v>
      </c>
      <c r="C478" s="145" t="s">
        <v>1439</v>
      </c>
      <c r="D478" s="145" t="s">
        <v>1450</v>
      </c>
      <c r="E478" s="149">
        <v>40281</v>
      </c>
      <c r="F478" s="146">
        <v>12</v>
      </c>
      <c r="G478" s="146">
        <v>3672</v>
      </c>
      <c r="H478" s="152"/>
    </row>
    <row r="479" spans="1:8" hidden="1" x14ac:dyDescent="0.25">
      <c r="A479" s="145" t="s">
        <v>1448</v>
      </c>
      <c r="B479" s="145" t="s">
        <v>1458</v>
      </c>
      <c r="C479" s="145" t="s">
        <v>1436</v>
      </c>
      <c r="D479" s="145" t="s">
        <v>1450</v>
      </c>
      <c r="E479" s="149">
        <v>40289</v>
      </c>
      <c r="F479" s="146">
        <v>12</v>
      </c>
      <c r="G479" s="146">
        <v>3912</v>
      </c>
      <c r="H479" s="152"/>
    </row>
    <row r="480" spans="1:8" hidden="1" x14ac:dyDescent="0.25">
      <c r="A480" s="145" t="s">
        <v>1438</v>
      </c>
      <c r="B480" s="145" t="s">
        <v>1458</v>
      </c>
      <c r="C480" s="145" t="s">
        <v>1439</v>
      </c>
      <c r="D480" s="145" t="s">
        <v>1455</v>
      </c>
      <c r="E480" s="149">
        <v>40718</v>
      </c>
      <c r="F480" s="146">
        <v>13</v>
      </c>
      <c r="G480" s="146">
        <v>6084</v>
      </c>
      <c r="H480" s="152"/>
    </row>
    <row r="481" spans="1:8" hidden="1" x14ac:dyDescent="0.25">
      <c r="A481" s="145" t="s">
        <v>1449</v>
      </c>
      <c r="B481" s="145" t="s">
        <v>1458</v>
      </c>
      <c r="C481" s="145" t="s">
        <v>1445</v>
      </c>
      <c r="D481" s="145" t="s">
        <v>1435</v>
      </c>
      <c r="E481" s="149">
        <v>40574</v>
      </c>
      <c r="F481" s="146">
        <v>13</v>
      </c>
      <c r="G481" s="146">
        <v>5785</v>
      </c>
      <c r="H481" s="152"/>
    </row>
    <row r="482" spans="1:8" hidden="1" x14ac:dyDescent="0.25">
      <c r="A482" s="145" t="s">
        <v>1448</v>
      </c>
      <c r="B482" s="145" t="s">
        <v>1458</v>
      </c>
      <c r="C482" s="145" t="s">
        <v>1441</v>
      </c>
      <c r="D482" s="145" t="s">
        <v>1435</v>
      </c>
      <c r="E482" s="149">
        <v>40733</v>
      </c>
      <c r="F482" s="146">
        <v>13</v>
      </c>
      <c r="G482" s="146">
        <v>4459</v>
      </c>
      <c r="H482" s="152"/>
    </row>
    <row r="483" spans="1:8" hidden="1" x14ac:dyDescent="0.25">
      <c r="A483" s="145" t="s">
        <v>1449</v>
      </c>
      <c r="B483" s="145" t="s">
        <v>1458</v>
      </c>
      <c r="C483" s="145" t="s">
        <v>1439</v>
      </c>
      <c r="D483" s="145" t="s">
        <v>1435</v>
      </c>
      <c r="E483" s="149">
        <v>40218</v>
      </c>
      <c r="F483" s="146">
        <v>13</v>
      </c>
      <c r="G483" s="146">
        <v>4589</v>
      </c>
      <c r="H483" s="152"/>
    </row>
    <row r="484" spans="1:8" hidden="1" x14ac:dyDescent="0.25">
      <c r="A484" s="145" t="s">
        <v>1454</v>
      </c>
      <c r="B484" s="145" t="s">
        <v>1458</v>
      </c>
      <c r="C484" s="145" t="s">
        <v>1439</v>
      </c>
      <c r="D484" s="145" t="s">
        <v>1435</v>
      </c>
      <c r="E484" s="149">
        <v>40554</v>
      </c>
      <c r="F484" s="146">
        <v>13</v>
      </c>
      <c r="G484" s="146">
        <v>6253</v>
      </c>
      <c r="H484" s="152"/>
    </row>
    <row r="485" spans="1:8" hidden="1" x14ac:dyDescent="0.25">
      <c r="A485" s="145" t="s">
        <v>1438</v>
      </c>
      <c r="B485" s="145" t="s">
        <v>1458</v>
      </c>
      <c r="C485" s="145" t="s">
        <v>1445</v>
      </c>
      <c r="D485" s="145" t="s">
        <v>1453</v>
      </c>
      <c r="E485" s="149">
        <v>40574</v>
      </c>
      <c r="F485" s="146">
        <v>13</v>
      </c>
      <c r="G485" s="146">
        <v>7059</v>
      </c>
      <c r="H485" s="152"/>
    </row>
    <row r="486" spans="1:8" hidden="1" x14ac:dyDescent="0.25">
      <c r="A486" s="145" t="s">
        <v>1440</v>
      </c>
      <c r="B486" s="145" t="s">
        <v>1458</v>
      </c>
      <c r="C486" s="145" t="s">
        <v>1439</v>
      </c>
      <c r="D486" s="145" t="s">
        <v>1453</v>
      </c>
      <c r="E486" s="149">
        <v>40274</v>
      </c>
      <c r="F486" s="146">
        <v>13</v>
      </c>
      <c r="G486" s="146">
        <v>9048</v>
      </c>
      <c r="H486" s="152"/>
    </row>
    <row r="487" spans="1:8" hidden="1" x14ac:dyDescent="0.25">
      <c r="A487" s="145" t="s">
        <v>1448</v>
      </c>
      <c r="B487" s="145" t="s">
        <v>1458</v>
      </c>
      <c r="C487" s="145" t="s">
        <v>1439</v>
      </c>
      <c r="D487" s="145" t="s">
        <v>1453</v>
      </c>
      <c r="E487" s="149">
        <v>40780</v>
      </c>
      <c r="F487" s="146">
        <v>13</v>
      </c>
      <c r="G487" s="146">
        <v>6552</v>
      </c>
      <c r="H487" s="152"/>
    </row>
    <row r="488" spans="1:8" hidden="1" x14ac:dyDescent="0.25">
      <c r="A488" s="145" t="s">
        <v>1442</v>
      </c>
      <c r="B488" s="145" t="s">
        <v>1458</v>
      </c>
      <c r="C488" s="145" t="s">
        <v>1436</v>
      </c>
      <c r="D488" s="145" t="s">
        <v>1453</v>
      </c>
      <c r="E488" s="149">
        <v>40689</v>
      </c>
      <c r="F488" s="146">
        <v>13</v>
      </c>
      <c r="G488" s="146">
        <v>3926</v>
      </c>
      <c r="H488" s="152"/>
    </row>
    <row r="489" spans="1:8" hidden="1" x14ac:dyDescent="0.25">
      <c r="A489" s="145" t="s">
        <v>1444</v>
      </c>
      <c r="B489" s="145" t="s">
        <v>1458</v>
      </c>
      <c r="C489" s="145" t="s">
        <v>1439</v>
      </c>
      <c r="D489" s="145" t="s">
        <v>1452</v>
      </c>
      <c r="E489" s="149">
        <v>40399</v>
      </c>
      <c r="F489" s="146">
        <v>13</v>
      </c>
      <c r="G489" s="146">
        <v>8476</v>
      </c>
      <c r="H489" s="152"/>
    </row>
    <row r="490" spans="1:8" hidden="1" x14ac:dyDescent="0.25">
      <c r="A490" s="145" t="s">
        <v>1442</v>
      </c>
      <c r="B490" s="145" t="s">
        <v>1458</v>
      </c>
      <c r="C490" s="145" t="s">
        <v>1439</v>
      </c>
      <c r="D490" s="145" t="s">
        <v>1452</v>
      </c>
      <c r="E490" s="149">
        <v>40855</v>
      </c>
      <c r="F490" s="146">
        <v>13</v>
      </c>
      <c r="G490" s="146">
        <v>4095</v>
      </c>
      <c r="H490" s="152"/>
    </row>
    <row r="491" spans="1:8" hidden="1" x14ac:dyDescent="0.25">
      <c r="A491" s="145" t="s">
        <v>1442</v>
      </c>
      <c r="B491" s="145" t="s">
        <v>1458</v>
      </c>
      <c r="C491" s="145" t="s">
        <v>1436</v>
      </c>
      <c r="D491" s="145" t="s">
        <v>1452</v>
      </c>
      <c r="E491" s="149">
        <v>40686</v>
      </c>
      <c r="F491" s="146">
        <v>13</v>
      </c>
      <c r="G491" s="146">
        <v>5447</v>
      </c>
      <c r="H491" s="152"/>
    </row>
    <row r="492" spans="1:8" hidden="1" x14ac:dyDescent="0.25">
      <c r="A492" s="145" t="s">
        <v>1442</v>
      </c>
      <c r="B492" s="145" t="s">
        <v>1458</v>
      </c>
      <c r="C492" s="145" t="s">
        <v>1436</v>
      </c>
      <c r="D492" s="145" t="s">
        <v>1452</v>
      </c>
      <c r="E492" s="149">
        <v>40845</v>
      </c>
      <c r="F492" s="146">
        <v>13</v>
      </c>
      <c r="G492" s="146">
        <v>7540</v>
      </c>
      <c r="H492" s="152"/>
    </row>
    <row r="493" spans="1:8" hidden="1" x14ac:dyDescent="0.25">
      <c r="A493" s="145" t="s">
        <v>1449</v>
      </c>
      <c r="B493" s="145" t="s">
        <v>1458</v>
      </c>
      <c r="C493" s="145" t="s">
        <v>1436</v>
      </c>
      <c r="D493" s="145" t="s">
        <v>1450</v>
      </c>
      <c r="E493" s="149">
        <v>40680</v>
      </c>
      <c r="F493" s="146">
        <v>13</v>
      </c>
      <c r="G493" s="146">
        <v>8996</v>
      </c>
      <c r="H493" s="152"/>
    </row>
    <row r="494" spans="1:8" hidden="1" x14ac:dyDescent="0.25">
      <c r="A494" s="145" t="s">
        <v>1454</v>
      </c>
      <c r="B494" s="145" t="s">
        <v>1458</v>
      </c>
      <c r="C494" s="145" t="s">
        <v>1445</v>
      </c>
      <c r="D494" s="145" t="s">
        <v>1455</v>
      </c>
      <c r="E494" s="149">
        <v>40270</v>
      </c>
      <c r="F494" s="146">
        <v>14</v>
      </c>
      <c r="G494" s="146">
        <v>6300</v>
      </c>
      <c r="H494" s="152"/>
    </row>
    <row r="495" spans="1:8" hidden="1" x14ac:dyDescent="0.25">
      <c r="A495" s="145" t="s">
        <v>1456</v>
      </c>
      <c r="B495" s="145" t="s">
        <v>1458</v>
      </c>
      <c r="C495" s="145" t="s">
        <v>1436</v>
      </c>
      <c r="D495" s="145" t="s">
        <v>1455</v>
      </c>
      <c r="E495" s="149">
        <v>40582</v>
      </c>
      <c r="F495" s="146">
        <v>14</v>
      </c>
      <c r="G495" s="146">
        <v>6608</v>
      </c>
      <c r="H495" s="152"/>
    </row>
    <row r="496" spans="1:8" hidden="1" x14ac:dyDescent="0.25">
      <c r="A496" s="145" t="s">
        <v>1442</v>
      </c>
      <c r="B496" s="145" t="s">
        <v>1458</v>
      </c>
      <c r="C496" s="145" t="s">
        <v>1436</v>
      </c>
      <c r="D496" s="145" t="s">
        <v>1455</v>
      </c>
      <c r="E496" s="149">
        <v>40686</v>
      </c>
      <c r="F496" s="146">
        <v>14</v>
      </c>
      <c r="G496" s="146">
        <v>7490</v>
      </c>
      <c r="H496" s="152"/>
    </row>
    <row r="497" spans="1:8" hidden="1" x14ac:dyDescent="0.25">
      <c r="A497" s="145" t="s">
        <v>1440</v>
      </c>
      <c r="B497" s="145" t="s">
        <v>1458</v>
      </c>
      <c r="C497" s="145" t="s">
        <v>1445</v>
      </c>
      <c r="D497" s="145" t="s">
        <v>1435</v>
      </c>
      <c r="E497" s="149">
        <v>40588</v>
      </c>
      <c r="F497" s="146">
        <v>14</v>
      </c>
      <c r="G497" s="146">
        <v>6230</v>
      </c>
      <c r="H497" s="152"/>
    </row>
    <row r="498" spans="1:8" hidden="1" x14ac:dyDescent="0.25">
      <c r="A498" s="145" t="s">
        <v>1440</v>
      </c>
      <c r="B498" s="145" t="s">
        <v>1458</v>
      </c>
      <c r="C498" s="145" t="s">
        <v>1439</v>
      </c>
      <c r="D498" s="145" t="s">
        <v>1435</v>
      </c>
      <c r="E498" s="149">
        <v>40329</v>
      </c>
      <c r="F498" s="146">
        <v>14</v>
      </c>
      <c r="G498" s="146">
        <v>8092</v>
      </c>
      <c r="H498" s="152"/>
    </row>
    <row r="499" spans="1:8" hidden="1" x14ac:dyDescent="0.25">
      <c r="A499" s="145" t="s">
        <v>1442</v>
      </c>
      <c r="B499" s="145" t="s">
        <v>1458</v>
      </c>
      <c r="C499" s="145" t="s">
        <v>1439</v>
      </c>
      <c r="D499" s="145" t="s">
        <v>1435</v>
      </c>
      <c r="E499" s="149">
        <v>40694</v>
      </c>
      <c r="F499" s="146">
        <v>14</v>
      </c>
      <c r="G499" s="146">
        <v>4340</v>
      </c>
      <c r="H499" s="152"/>
    </row>
    <row r="500" spans="1:8" hidden="1" x14ac:dyDescent="0.25">
      <c r="A500" s="145" t="s">
        <v>1446</v>
      </c>
      <c r="B500" s="145" t="s">
        <v>1458</v>
      </c>
      <c r="C500" s="145" t="s">
        <v>1445</v>
      </c>
      <c r="D500" s="145" t="s">
        <v>1453</v>
      </c>
      <c r="E500" s="149">
        <v>40672</v>
      </c>
      <c r="F500" s="146">
        <v>14</v>
      </c>
      <c r="G500" s="146">
        <v>9646</v>
      </c>
      <c r="H500" s="152"/>
    </row>
    <row r="501" spans="1:8" hidden="1" x14ac:dyDescent="0.25">
      <c r="A501" s="145" t="s">
        <v>1448</v>
      </c>
      <c r="B501" s="145" t="s">
        <v>1458</v>
      </c>
      <c r="C501" s="145" t="s">
        <v>1441</v>
      </c>
      <c r="D501" s="145" t="s">
        <v>1453</v>
      </c>
      <c r="E501" s="149">
        <v>40630</v>
      </c>
      <c r="F501" s="146">
        <v>14</v>
      </c>
      <c r="G501" s="146">
        <v>8148</v>
      </c>
      <c r="H501" s="152"/>
    </row>
    <row r="502" spans="1:8" hidden="1" x14ac:dyDescent="0.25">
      <c r="A502" s="145" t="s">
        <v>1446</v>
      </c>
      <c r="B502" s="145" t="s">
        <v>1458</v>
      </c>
      <c r="C502" s="145" t="s">
        <v>1439</v>
      </c>
      <c r="D502" s="145" t="s">
        <v>1453</v>
      </c>
      <c r="E502" s="149">
        <v>40509</v>
      </c>
      <c r="F502" s="146">
        <v>14</v>
      </c>
      <c r="G502" s="146">
        <v>6146</v>
      </c>
      <c r="H502" s="152"/>
    </row>
    <row r="503" spans="1:8" hidden="1" x14ac:dyDescent="0.25">
      <c r="A503" s="145" t="s">
        <v>1449</v>
      </c>
      <c r="B503" s="145" t="s">
        <v>1458</v>
      </c>
      <c r="C503" s="145" t="s">
        <v>1441</v>
      </c>
      <c r="D503" s="145" t="s">
        <v>1450</v>
      </c>
      <c r="E503" s="149">
        <v>40367</v>
      </c>
      <c r="F503" s="146">
        <v>14</v>
      </c>
      <c r="G503" s="146">
        <v>5208</v>
      </c>
      <c r="H503" s="152"/>
    </row>
    <row r="504" spans="1:8" hidden="1" x14ac:dyDescent="0.25">
      <c r="A504" s="145" t="s">
        <v>1447</v>
      </c>
      <c r="B504" s="145" t="s">
        <v>1458</v>
      </c>
      <c r="C504" s="145" t="s">
        <v>1436</v>
      </c>
      <c r="D504" s="145" t="s">
        <v>1450</v>
      </c>
      <c r="E504" s="149">
        <v>40311</v>
      </c>
      <c r="F504" s="146">
        <v>14</v>
      </c>
      <c r="G504" s="146">
        <v>5656</v>
      </c>
      <c r="H504" s="152"/>
    </row>
    <row r="505" spans="1:8" hidden="1" x14ac:dyDescent="0.25">
      <c r="A505" s="145" t="s">
        <v>1454</v>
      </c>
      <c r="B505" s="145" t="s">
        <v>1458</v>
      </c>
      <c r="C505" s="145" t="s">
        <v>1436</v>
      </c>
      <c r="D505" s="145" t="s">
        <v>1450</v>
      </c>
      <c r="E505" s="149">
        <v>40821</v>
      </c>
      <c r="F505" s="146">
        <v>14</v>
      </c>
      <c r="G505" s="146">
        <v>8680</v>
      </c>
      <c r="H505" s="152"/>
    </row>
    <row r="506" spans="1:8" hidden="1" x14ac:dyDescent="0.25">
      <c r="A506" s="145" t="s">
        <v>1442</v>
      </c>
      <c r="B506" s="145" t="s">
        <v>1458</v>
      </c>
      <c r="C506" s="145" t="s">
        <v>1445</v>
      </c>
      <c r="D506" s="145" t="s">
        <v>1455</v>
      </c>
      <c r="E506" s="149">
        <v>40557</v>
      </c>
      <c r="F506" s="146">
        <v>15</v>
      </c>
      <c r="G506" s="146">
        <v>5130</v>
      </c>
      <c r="H506" s="152"/>
    </row>
    <row r="507" spans="1:8" hidden="1" x14ac:dyDescent="0.25">
      <c r="A507" s="145" t="s">
        <v>1454</v>
      </c>
      <c r="B507" s="145" t="s">
        <v>1458</v>
      </c>
      <c r="C507" s="145" t="s">
        <v>1439</v>
      </c>
      <c r="D507" s="145" t="s">
        <v>1455</v>
      </c>
      <c r="E507" s="149">
        <v>40554</v>
      </c>
      <c r="F507" s="146">
        <v>15</v>
      </c>
      <c r="G507" s="146">
        <v>9570</v>
      </c>
      <c r="H507" s="152"/>
    </row>
    <row r="508" spans="1:8" hidden="1" x14ac:dyDescent="0.25">
      <c r="A508" s="145" t="s">
        <v>1440</v>
      </c>
      <c r="B508" s="145" t="s">
        <v>1458</v>
      </c>
      <c r="C508" s="145" t="s">
        <v>1441</v>
      </c>
      <c r="D508" s="145" t="s">
        <v>1435</v>
      </c>
      <c r="E508" s="149">
        <v>40495</v>
      </c>
      <c r="F508" s="146">
        <v>15</v>
      </c>
      <c r="G508" s="146">
        <v>8610</v>
      </c>
      <c r="H508" s="152"/>
    </row>
    <row r="509" spans="1:8" hidden="1" x14ac:dyDescent="0.25">
      <c r="A509" s="145" t="s">
        <v>1438</v>
      </c>
      <c r="B509" s="145" t="s">
        <v>1458</v>
      </c>
      <c r="C509" s="145" t="s">
        <v>1441</v>
      </c>
      <c r="D509" s="145" t="s">
        <v>1453</v>
      </c>
      <c r="E509" s="149">
        <v>40311</v>
      </c>
      <c r="F509" s="146">
        <v>15</v>
      </c>
      <c r="G509" s="146">
        <v>5880</v>
      </c>
      <c r="H509" s="152"/>
    </row>
    <row r="510" spans="1:8" hidden="1" x14ac:dyDescent="0.25">
      <c r="A510" s="145" t="s">
        <v>1451</v>
      </c>
      <c r="B510" s="145" t="s">
        <v>1458</v>
      </c>
      <c r="C510" s="145" t="s">
        <v>1441</v>
      </c>
      <c r="D510" s="145" t="s">
        <v>1453</v>
      </c>
      <c r="E510" s="149">
        <v>40792</v>
      </c>
      <c r="F510" s="146">
        <v>15</v>
      </c>
      <c r="G510" s="146">
        <v>4890</v>
      </c>
      <c r="H510" s="152"/>
    </row>
    <row r="511" spans="1:8" hidden="1" x14ac:dyDescent="0.25">
      <c r="A511" s="145" t="s">
        <v>1449</v>
      </c>
      <c r="B511" s="145" t="s">
        <v>1458</v>
      </c>
      <c r="C511" s="145" t="s">
        <v>1439</v>
      </c>
      <c r="D511" s="145" t="s">
        <v>1453</v>
      </c>
      <c r="E511" s="149">
        <v>40477</v>
      </c>
      <c r="F511" s="146">
        <v>15</v>
      </c>
      <c r="G511" s="146">
        <v>7380</v>
      </c>
      <c r="H511" s="152"/>
    </row>
    <row r="512" spans="1:8" hidden="1" x14ac:dyDescent="0.25">
      <c r="A512" s="145" t="s">
        <v>1451</v>
      </c>
      <c r="B512" s="145" t="s">
        <v>1458</v>
      </c>
      <c r="C512" s="145" t="s">
        <v>1439</v>
      </c>
      <c r="D512" s="145" t="s">
        <v>1453</v>
      </c>
      <c r="E512" s="149">
        <v>40547</v>
      </c>
      <c r="F512" s="146">
        <v>15</v>
      </c>
      <c r="G512" s="146">
        <v>8460</v>
      </c>
      <c r="H512" s="152"/>
    </row>
    <row r="513" spans="1:8" hidden="1" x14ac:dyDescent="0.25">
      <c r="A513" s="145" t="s">
        <v>1447</v>
      </c>
      <c r="B513" s="145" t="s">
        <v>1458</v>
      </c>
      <c r="C513" s="145" t="s">
        <v>1445</v>
      </c>
      <c r="D513" s="145" t="s">
        <v>1452</v>
      </c>
      <c r="E513" s="149">
        <v>40246</v>
      </c>
      <c r="F513" s="146">
        <v>15</v>
      </c>
      <c r="G513" s="150">
        <v>4815</v>
      </c>
      <c r="H513" s="152"/>
    </row>
    <row r="514" spans="1:8" hidden="1" x14ac:dyDescent="0.25">
      <c r="A514" s="145" t="s">
        <v>1438</v>
      </c>
      <c r="B514" s="145" t="s">
        <v>1458</v>
      </c>
      <c r="C514" s="145" t="s">
        <v>1445</v>
      </c>
      <c r="D514" s="145" t="s">
        <v>1452</v>
      </c>
      <c r="E514" s="149">
        <v>40541</v>
      </c>
      <c r="F514" s="146">
        <v>15</v>
      </c>
      <c r="G514" s="146">
        <v>4770</v>
      </c>
      <c r="H514" s="152"/>
    </row>
    <row r="515" spans="1:8" hidden="1" x14ac:dyDescent="0.25">
      <c r="A515" s="145" t="s">
        <v>1446</v>
      </c>
      <c r="B515" s="145" t="s">
        <v>1458</v>
      </c>
      <c r="C515" s="145" t="s">
        <v>1445</v>
      </c>
      <c r="D515" s="145" t="s">
        <v>1452</v>
      </c>
      <c r="E515" s="149">
        <v>40634</v>
      </c>
      <c r="F515" s="146">
        <v>15</v>
      </c>
      <c r="G515" s="146">
        <v>6570</v>
      </c>
      <c r="H515" s="152"/>
    </row>
    <row r="516" spans="1:8" hidden="1" x14ac:dyDescent="0.25">
      <c r="A516" s="145" t="s">
        <v>1451</v>
      </c>
      <c r="B516" s="145" t="s">
        <v>1458</v>
      </c>
      <c r="C516" s="145" t="s">
        <v>1441</v>
      </c>
      <c r="D516" s="145" t="s">
        <v>1452</v>
      </c>
      <c r="E516" s="149">
        <v>40880</v>
      </c>
      <c r="F516" s="146">
        <v>15</v>
      </c>
      <c r="G516" s="146">
        <v>4665</v>
      </c>
      <c r="H516" s="152"/>
    </row>
    <row r="517" spans="1:8" hidden="1" x14ac:dyDescent="0.25">
      <c r="A517" s="145" t="s">
        <v>1440</v>
      </c>
      <c r="B517" s="145" t="s">
        <v>1458</v>
      </c>
      <c r="C517" s="145" t="s">
        <v>1439</v>
      </c>
      <c r="D517" s="145" t="s">
        <v>1452</v>
      </c>
      <c r="E517" s="149">
        <v>40519</v>
      </c>
      <c r="F517" s="146">
        <v>15</v>
      </c>
      <c r="G517" s="146">
        <v>9435</v>
      </c>
      <c r="H517" s="152"/>
    </row>
    <row r="518" spans="1:8" hidden="1" x14ac:dyDescent="0.25">
      <c r="A518" s="145" t="s">
        <v>1440</v>
      </c>
      <c r="B518" s="145" t="s">
        <v>1458</v>
      </c>
      <c r="C518" s="145" t="s">
        <v>1441</v>
      </c>
      <c r="D518" s="145" t="s">
        <v>1450</v>
      </c>
      <c r="E518" s="149">
        <v>40393</v>
      </c>
      <c r="F518" s="146">
        <v>15</v>
      </c>
      <c r="G518" s="146">
        <v>7230</v>
      </c>
      <c r="H518" s="152"/>
    </row>
    <row r="519" spans="1:8" hidden="1" x14ac:dyDescent="0.25">
      <c r="A519" s="145" t="s">
        <v>1440</v>
      </c>
      <c r="B519" s="145" t="s">
        <v>1458</v>
      </c>
      <c r="C519" s="145" t="s">
        <v>1445</v>
      </c>
      <c r="D519" s="145" t="s">
        <v>1435</v>
      </c>
      <c r="E519" s="149">
        <v>40550</v>
      </c>
      <c r="F519" s="146">
        <v>16</v>
      </c>
      <c r="G519" s="146">
        <v>5296</v>
      </c>
      <c r="H519" s="152"/>
    </row>
    <row r="520" spans="1:8" hidden="1" x14ac:dyDescent="0.25">
      <c r="A520" s="145" t="s">
        <v>1451</v>
      </c>
      <c r="B520" s="145" t="s">
        <v>1458</v>
      </c>
      <c r="C520" s="145" t="s">
        <v>1445</v>
      </c>
      <c r="D520" s="145" t="s">
        <v>1435</v>
      </c>
      <c r="E520" s="149">
        <v>40689</v>
      </c>
      <c r="F520" s="146">
        <v>17</v>
      </c>
      <c r="G520" s="146">
        <v>6528</v>
      </c>
      <c r="H520" s="152"/>
    </row>
    <row r="521" spans="1:8" hidden="1" x14ac:dyDescent="0.25">
      <c r="A521" s="145" t="s">
        <v>1449</v>
      </c>
      <c r="B521" s="145" t="s">
        <v>1458</v>
      </c>
      <c r="C521" s="145" t="s">
        <v>1445</v>
      </c>
      <c r="D521" s="145" t="s">
        <v>1435</v>
      </c>
      <c r="E521" s="149">
        <v>40747</v>
      </c>
      <c r="F521" s="146">
        <v>17</v>
      </c>
      <c r="G521" s="146">
        <v>8585</v>
      </c>
      <c r="H521" s="152"/>
    </row>
    <row r="522" spans="1:8" hidden="1" x14ac:dyDescent="0.25">
      <c r="A522" s="145" t="s">
        <v>1447</v>
      </c>
      <c r="B522" s="145" t="s">
        <v>1458</v>
      </c>
      <c r="C522" s="145" t="s">
        <v>1436</v>
      </c>
      <c r="D522" s="145" t="s">
        <v>1435</v>
      </c>
      <c r="E522" s="149">
        <v>40729</v>
      </c>
      <c r="F522" s="146">
        <v>17</v>
      </c>
      <c r="G522" s="146">
        <v>8228</v>
      </c>
      <c r="H522" s="152"/>
    </row>
    <row r="523" spans="1:8" hidden="1" x14ac:dyDescent="0.25">
      <c r="A523" s="145" t="s">
        <v>1456</v>
      </c>
      <c r="B523" s="145" t="s">
        <v>1458</v>
      </c>
      <c r="C523" s="145" t="s">
        <v>1445</v>
      </c>
      <c r="D523" s="145" t="s">
        <v>1435</v>
      </c>
      <c r="E523" s="149">
        <v>40455</v>
      </c>
      <c r="F523" s="146">
        <v>18</v>
      </c>
      <c r="G523" s="146">
        <v>5670</v>
      </c>
      <c r="H523" s="152"/>
    </row>
    <row r="524" spans="1:8" hidden="1" x14ac:dyDescent="0.25">
      <c r="A524" s="145" t="s">
        <v>1454</v>
      </c>
      <c r="B524" s="145" t="s">
        <v>1458</v>
      </c>
      <c r="C524" s="145" t="s">
        <v>1445</v>
      </c>
      <c r="D524" s="145" t="s">
        <v>1435</v>
      </c>
      <c r="E524" s="149">
        <v>40841</v>
      </c>
      <c r="F524" s="146">
        <v>18</v>
      </c>
      <c r="G524" s="146">
        <v>5958</v>
      </c>
      <c r="H524" s="152"/>
    </row>
    <row r="525" spans="1:8" hidden="1" x14ac:dyDescent="0.25">
      <c r="A525" s="145" t="s">
        <v>1447</v>
      </c>
      <c r="B525" s="145" t="s">
        <v>1458</v>
      </c>
      <c r="C525" s="145" t="s">
        <v>1436</v>
      </c>
      <c r="D525" s="145" t="s">
        <v>1435</v>
      </c>
      <c r="E525" s="149">
        <v>40336</v>
      </c>
      <c r="F525" s="146">
        <v>18</v>
      </c>
      <c r="G525" s="146">
        <v>11484</v>
      </c>
      <c r="H525" s="152"/>
    </row>
    <row r="526" spans="1:8" hidden="1" x14ac:dyDescent="0.25">
      <c r="A526" s="145" t="s">
        <v>1438</v>
      </c>
      <c r="B526" s="145" t="s">
        <v>1458</v>
      </c>
      <c r="C526" s="145" t="s">
        <v>1445</v>
      </c>
      <c r="D526" s="145" t="s">
        <v>1435</v>
      </c>
      <c r="E526" s="149">
        <v>40533</v>
      </c>
      <c r="F526" s="146">
        <v>19</v>
      </c>
      <c r="G526" s="146">
        <v>6536</v>
      </c>
      <c r="H526" s="152"/>
    </row>
    <row r="527" spans="1:8" hidden="1" x14ac:dyDescent="0.25">
      <c r="A527" s="145" t="s">
        <v>1448</v>
      </c>
      <c r="B527" s="145" t="s">
        <v>1458</v>
      </c>
      <c r="C527" s="145" t="s">
        <v>1445</v>
      </c>
      <c r="D527" s="145" t="s">
        <v>1435</v>
      </c>
      <c r="E527" s="149">
        <v>40392</v>
      </c>
      <c r="F527" s="146">
        <v>20</v>
      </c>
      <c r="G527" s="146">
        <v>8580</v>
      </c>
      <c r="H527" s="152"/>
    </row>
    <row r="528" spans="1:8" hidden="1" x14ac:dyDescent="0.25">
      <c r="A528" s="145" t="s">
        <v>1449</v>
      </c>
      <c r="B528" s="145" t="s">
        <v>1458</v>
      </c>
      <c r="C528" s="145" t="s">
        <v>1445</v>
      </c>
      <c r="D528" s="145" t="s">
        <v>1435</v>
      </c>
      <c r="E528" s="149">
        <v>40801</v>
      </c>
      <c r="F528" s="146">
        <v>20</v>
      </c>
      <c r="G528" s="146">
        <v>10620</v>
      </c>
      <c r="H528" s="152"/>
    </row>
    <row r="529" spans="1:8" hidden="1" x14ac:dyDescent="0.25">
      <c r="A529" s="145" t="s">
        <v>1449</v>
      </c>
      <c r="B529" s="145" t="s">
        <v>1458</v>
      </c>
      <c r="C529" s="145" t="s">
        <v>1441</v>
      </c>
      <c r="D529" s="145" t="s">
        <v>1435</v>
      </c>
      <c r="E529" s="149">
        <v>40548</v>
      </c>
      <c r="F529" s="146">
        <v>20</v>
      </c>
      <c r="G529" s="146">
        <v>6920</v>
      </c>
      <c r="H529" s="152"/>
    </row>
    <row r="530" spans="1:8" hidden="1" x14ac:dyDescent="0.25">
      <c r="A530" s="145" t="s">
        <v>1449</v>
      </c>
      <c r="B530" s="145" t="s">
        <v>1458</v>
      </c>
      <c r="C530" s="145" t="s">
        <v>1439</v>
      </c>
      <c r="D530" s="145" t="s">
        <v>1435</v>
      </c>
      <c r="E530" s="149">
        <v>40537</v>
      </c>
      <c r="F530" s="146">
        <v>20</v>
      </c>
      <c r="G530" s="146">
        <v>7060</v>
      </c>
      <c r="H530" s="152"/>
    </row>
    <row r="531" spans="1:8" hidden="1" x14ac:dyDescent="0.25">
      <c r="A531" s="145" t="s">
        <v>1446</v>
      </c>
      <c r="B531" s="145" t="s">
        <v>1458</v>
      </c>
      <c r="C531" s="145" t="s">
        <v>1439</v>
      </c>
      <c r="D531" s="145" t="s">
        <v>1435</v>
      </c>
      <c r="E531" s="149">
        <v>40806</v>
      </c>
      <c r="F531" s="146">
        <v>20</v>
      </c>
      <c r="G531" s="146">
        <v>11260</v>
      </c>
      <c r="H531" s="152"/>
    </row>
    <row r="532" spans="1:8" hidden="1" x14ac:dyDescent="0.25">
      <c r="A532" s="145" t="s">
        <v>1443</v>
      </c>
      <c r="B532" s="145" t="s">
        <v>1457</v>
      </c>
      <c r="C532" s="145" t="s">
        <v>1445</v>
      </c>
      <c r="D532" s="145" t="s">
        <v>1455</v>
      </c>
      <c r="E532" s="149">
        <v>40621</v>
      </c>
      <c r="F532" s="146">
        <v>1</v>
      </c>
      <c r="G532" s="146">
        <v>1169</v>
      </c>
      <c r="H532" s="152"/>
    </row>
    <row r="533" spans="1:8" hidden="1" x14ac:dyDescent="0.25">
      <c r="A533" s="145" t="s">
        <v>1438</v>
      </c>
      <c r="B533" s="145" t="s">
        <v>1457</v>
      </c>
      <c r="C533" s="145" t="s">
        <v>1441</v>
      </c>
      <c r="D533" s="145" t="s">
        <v>1455</v>
      </c>
      <c r="E533" s="149">
        <v>40462</v>
      </c>
      <c r="F533" s="146">
        <v>1</v>
      </c>
      <c r="G533" s="146">
        <v>1376</v>
      </c>
      <c r="H533" s="152"/>
    </row>
    <row r="534" spans="1:8" hidden="1" x14ac:dyDescent="0.25">
      <c r="A534" s="145" t="s">
        <v>1443</v>
      </c>
      <c r="B534" s="145" t="s">
        <v>1457</v>
      </c>
      <c r="C534" s="145" t="s">
        <v>1436</v>
      </c>
      <c r="D534" s="145" t="s">
        <v>1455</v>
      </c>
      <c r="E534" s="149">
        <v>40323</v>
      </c>
      <c r="F534" s="146">
        <v>1</v>
      </c>
      <c r="G534" s="146">
        <v>1466</v>
      </c>
      <c r="H534" s="152"/>
    </row>
    <row r="535" spans="1:8" hidden="1" x14ac:dyDescent="0.25">
      <c r="A535" s="145" t="s">
        <v>1438</v>
      </c>
      <c r="B535" s="145" t="s">
        <v>1457</v>
      </c>
      <c r="C535" s="145" t="s">
        <v>1436</v>
      </c>
      <c r="D535" s="145" t="s">
        <v>1455</v>
      </c>
      <c r="E535" s="149">
        <v>40849</v>
      </c>
      <c r="F535" s="146">
        <v>1</v>
      </c>
      <c r="G535" s="146">
        <v>1363</v>
      </c>
      <c r="H535" s="152"/>
    </row>
    <row r="536" spans="1:8" hidden="1" x14ac:dyDescent="0.25">
      <c r="A536" s="145" t="s">
        <v>1451</v>
      </c>
      <c r="B536" s="145" t="s">
        <v>1457</v>
      </c>
      <c r="C536" s="145" t="s">
        <v>1445</v>
      </c>
      <c r="D536" s="145" t="s">
        <v>1453</v>
      </c>
      <c r="E536" s="149">
        <v>40855</v>
      </c>
      <c r="F536" s="146">
        <v>1</v>
      </c>
      <c r="G536" s="146">
        <v>718</v>
      </c>
      <c r="H536" s="152"/>
    </row>
    <row r="537" spans="1:8" hidden="1" x14ac:dyDescent="0.25">
      <c r="A537" s="145" t="s">
        <v>1446</v>
      </c>
      <c r="B537" s="145" t="s">
        <v>1457</v>
      </c>
      <c r="C537" s="145" t="s">
        <v>1441</v>
      </c>
      <c r="D537" s="145" t="s">
        <v>1453</v>
      </c>
      <c r="E537" s="149">
        <v>40574</v>
      </c>
      <c r="F537" s="146">
        <v>1</v>
      </c>
      <c r="G537" s="146">
        <v>1220</v>
      </c>
      <c r="H537" s="152"/>
    </row>
    <row r="538" spans="1:8" hidden="1" x14ac:dyDescent="0.25">
      <c r="A538" s="145" t="s">
        <v>1451</v>
      </c>
      <c r="B538" s="145" t="s">
        <v>1457</v>
      </c>
      <c r="C538" s="145" t="s">
        <v>1439</v>
      </c>
      <c r="D538" s="145" t="s">
        <v>1453</v>
      </c>
      <c r="E538" s="149">
        <v>40297</v>
      </c>
      <c r="F538" s="146">
        <v>1</v>
      </c>
      <c r="G538" s="146">
        <v>1372</v>
      </c>
      <c r="H538" s="152"/>
    </row>
    <row r="539" spans="1:8" hidden="1" x14ac:dyDescent="0.25">
      <c r="A539" s="145" t="s">
        <v>1451</v>
      </c>
      <c r="B539" s="145" t="s">
        <v>1457</v>
      </c>
      <c r="C539" s="145" t="s">
        <v>1439</v>
      </c>
      <c r="D539" s="145" t="s">
        <v>1453</v>
      </c>
      <c r="E539" s="149">
        <v>40534</v>
      </c>
      <c r="F539" s="146">
        <v>1</v>
      </c>
      <c r="G539" s="146">
        <v>573</v>
      </c>
      <c r="H539" s="152"/>
    </row>
    <row r="540" spans="1:8" hidden="1" x14ac:dyDescent="0.25">
      <c r="A540" s="145" t="s">
        <v>1440</v>
      </c>
      <c r="B540" s="145" t="s">
        <v>1457</v>
      </c>
      <c r="C540" s="145" t="s">
        <v>1436</v>
      </c>
      <c r="D540" s="145" t="s">
        <v>1453</v>
      </c>
      <c r="E540" s="149">
        <v>40578</v>
      </c>
      <c r="F540" s="146">
        <v>1</v>
      </c>
      <c r="G540" s="146">
        <v>771</v>
      </c>
      <c r="H540" s="152"/>
    </row>
    <row r="541" spans="1:8" hidden="1" x14ac:dyDescent="0.25">
      <c r="A541" s="145" t="s">
        <v>1442</v>
      </c>
      <c r="B541" s="145" t="s">
        <v>1457</v>
      </c>
      <c r="C541" s="145" t="s">
        <v>1445</v>
      </c>
      <c r="D541" s="145" t="s">
        <v>1452</v>
      </c>
      <c r="E541" s="149">
        <v>40464</v>
      </c>
      <c r="F541" s="146">
        <v>1</v>
      </c>
      <c r="G541" s="146">
        <v>986</v>
      </c>
      <c r="H541" s="152"/>
    </row>
    <row r="542" spans="1:8" hidden="1" x14ac:dyDescent="0.25">
      <c r="A542" s="145" t="s">
        <v>1451</v>
      </c>
      <c r="B542" s="145" t="s">
        <v>1457</v>
      </c>
      <c r="C542" s="145" t="s">
        <v>1441</v>
      </c>
      <c r="D542" s="145" t="s">
        <v>1452</v>
      </c>
      <c r="E542" s="149">
        <v>40800</v>
      </c>
      <c r="F542" s="146">
        <v>1</v>
      </c>
      <c r="G542" s="146">
        <v>778</v>
      </c>
      <c r="H542" s="152"/>
    </row>
    <row r="543" spans="1:8" hidden="1" x14ac:dyDescent="0.25">
      <c r="A543" s="145" t="s">
        <v>1443</v>
      </c>
      <c r="B543" s="145" t="s">
        <v>1457</v>
      </c>
      <c r="C543" s="145" t="s">
        <v>1439</v>
      </c>
      <c r="D543" s="145" t="s">
        <v>1452</v>
      </c>
      <c r="E543" s="149">
        <v>40539</v>
      </c>
      <c r="F543" s="146">
        <v>1</v>
      </c>
      <c r="G543" s="146">
        <v>885</v>
      </c>
      <c r="H543" s="152"/>
    </row>
    <row r="544" spans="1:8" hidden="1" x14ac:dyDescent="0.25">
      <c r="A544" s="145" t="s">
        <v>1451</v>
      </c>
      <c r="B544" s="145" t="s">
        <v>1457</v>
      </c>
      <c r="C544" s="145" t="s">
        <v>1445</v>
      </c>
      <c r="D544" s="145" t="s">
        <v>1450</v>
      </c>
      <c r="E544" s="149">
        <v>40547</v>
      </c>
      <c r="F544" s="146">
        <v>1</v>
      </c>
      <c r="G544" s="146">
        <v>962</v>
      </c>
      <c r="H544" s="152"/>
    </row>
    <row r="545" spans="1:8" hidden="1" x14ac:dyDescent="0.25">
      <c r="A545" s="145" t="s">
        <v>1440</v>
      </c>
      <c r="B545" s="145" t="s">
        <v>1457</v>
      </c>
      <c r="C545" s="145" t="s">
        <v>1439</v>
      </c>
      <c r="D545" s="145" t="s">
        <v>1450</v>
      </c>
      <c r="E545" s="149">
        <v>40427</v>
      </c>
      <c r="F545" s="146">
        <v>1</v>
      </c>
      <c r="G545" s="146">
        <v>1348</v>
      </c>
      <c r="H545" s="152"/>
    </row>
    <row r="546" spans="1:8" hidden="1" x14ac:dyDescent="0.25">
      <c r="A546" s="145" t="s">
        <v>1447</v>
      </c>
      <c r="B546" s="145" t="s">
        <v>1457</v>
      </c>
      <c r="C546" s="145" t="s">
        <v>1439</v>
      </c>
      <c r="D546" s="145" t="s">
        <v>1450</v>
      </c>
      <c r="E546" s="149">
        <v>40764</v>
      </c>
      <c r="F546" s="146">
        <v>1</v>
      </c>
      <c r="G546" s="146">
        <v>519</v>
      </c>
      <c r="H546" s="152"/>
    </row>
    <row r="547" spans="1:8" hidden="1" x14ac:dyDescent="0.25">
      <c r="A547" s="145" t="s">
        <v>1448</v>
      </c>
      <c r="B547" s="145" t="s">
        <v>1457</v>
      </c>
      <c r="C547" s="145" t="s">
        <v>1436</v>
      </c>
      <c r="D547" s="145" t="s">
        <v>1450</v>
      </c>
      <c r="E547" s="149">
        <v>40252</v>
      </c>
      <c r="F547" s="146">
        <v>1</v>
      </c>
      <c r="G547" s="150">
        <v>1065</v>
      </c>
      <c r="H547" s="152"/>
    </row>
    <row r="548" spans="1:8" hidden="1" x14ac:dyDescent="0.25">
      <c r="A548" s="145" t="s">
        <v>1440</v>
      </c>
      <c r="B548" s="145" t="s">
        <v>1457</v>
      </c>
      <c r="C548" s="145" t="s">
        <v>1445</v>
      </c>
      <c r="D548" s="145" t="s">
        <v>1455</v>
      </c>
      <c r="E548" s="149">
        <v>40372</v>
      </c>
      <c r="F548" s="146">
        <v>2</v>
      </c>
      <c r="G548" s="146">
        <v>1446</v>
      </c>
      <c r="H548" s="152"/>
    </row>
    <row r="549" spans="1:8" hidden="1" x14ac:dyDescent="0.25">
      <c r="A549" s="145" t="s">
        <v>1444</v>
      </c>
      <c r="B549" s="145" t="s">
        <v>1457</v>
      </c>
      <c r="C549" s="145" t="s">
        <v>1441</v>
      </c>
      <c r="D549" s="145" t="s">
        <v>1455</v>
      </c>
      <c r="E549" s="149">
        <v>40558</v>
      </c>
      <c r="F549" s="146">
        <v>2</v>
      </c>
      <c r="G549" s="146">
        <v>2310</v>
      </c>
      <c r="H549" s="152"/>
    </row>
    <row r="550" spans="1:8" hidden="1" x14ac:dyDescent="0.25">
      <c r="A550" s="145" t="s">
        <v>1440</v>
      </c>
      <c r="B550" s="145" t="s">
        <v>1457</v>
      </c>
      <c r="C550" s="145" t="s">
        <v>1441</v>
      </c>
      <c r="D550" s="145" t="s">
        <v>1455</v>
      </c>
      <c r="E550" s="149">
        <v>40792</v>
      </c>
      <c r="F550" s="146">
        <v>2</v>
      </c>
      <c r="G550" s="146">
        <v>1948</v>
      </c>
      <c r="H550" s="152"/>
    </row>
    <row r="551" spans="1:8" hidden="1" x14ac:dyDescent="0.25">
      <c r="A551" s="145" t="s">
        <v>1442</v>
      </c>
      <c r="B551" s="145" t="s">
        <v>1457</v>
      </c>
      <c r="C551" s="145" t="s">
        <v>1441</v>
      </c>
      <c r="D551" s="145" t="s">
        <v>1453</v>
      </c>
      <c r="E551" s="149">
        <v>40683</v>
      </c>
      <c r="F551" s="146">
        <v>2</v>
      </c>
      <c r="G551" s="146">
        <v>2028</v>
      </c>
      <c r="H551" s="152"/>
    </row>
    <row r="552" spans="1:8" hidden="1" x14ac:dyDescent="0.25">
      <c r="A552" s="145" t="s">
        <v>1446</v>
      </c>
      <c r="B552" s="145" t="s">
        <v>1457</v>
      </c>
      <c r="C552" s="145" t="s">
        <v>1439</v>
      </c>
      <c r="D552" s="145" t="s">
        <v>1453</v>
      </c>
      <c r="E552" s="149">
        <v>40610</v>
      </c>
      <c r="F552" s="146">
        <v>2</v>
      </c>
      <c r="G552" s="146">
        <v>2948</v>
      </c>
      <c r="H552" s="152"/>
    </row>
    <row r="553" spans="1:8" hidden="1" x14ac:dyDescent="0.25">
      <c r="A553" s="145" t="s">
        <v>1440</v>
      </c>
      <c r="B553" s="145" t="s">
        <v>1457</v>
      </c>
      <c r="C553" s="145" t="s">
        <v>1436</v>
      </c>
      <c r="D553" s="145" t="s">
        <v>1453</v>
      </c>
      <c r="E553" s="149">
        <v>40463</v>
      </c>
      <c r="F553" s="146">
        <v>2</v>
      </c>
      <c r="G553" s="146">
        <v>2636</v>
      </c>
      <c r="H553" s="152"/>
    </row>
    <row r="554" spans="1:8" hidden="1" x14ac:dyDescent="0.25">
      <c r="A554" s="145" t="s">
        <v>1448</v>
      </c>
      <c r="B554" s="145" t="s">
        <v>1457</v>
      </c>
      <c r="C554" s="145" t="s">
        <v>1436</v>
      </c>
      <c r="D554" s="145" t="s">
        <v>1453</v>
      </c>
      <c r="E554" s="149">
        <v>40634</v>
      </c>
      <c r="F554" s="146">
        <v>2</v>
      </c>
      <c r="G554" s="146">
        <v>2658</v>
      </c>
      <c r="H554" s="152"/>
    </row>
    <row r="555" spans="1:8" hidden="1" x14ac:dyDescent="0.25">
      <c r="A555" s="145" t="s">
        <v>1448</v>
      </c>
      <c r="B555" s="145" t="s">
        <v>1457</v>
      </c>
      <c r="C555" s="145" t="s">
        <v>1445</v>
      </c>
      <c r="D555" s="145" t="s">
        <v>1452</v>
      </c>
      <c r="E555" s="149">
        <v>40421</v>
      </c>
      <c r="F555" s="146">
        <v>2</v>
      </c>
      <c r="G555" s="146">
        <v>1762</v>
      </c>
      <c r="H555" s="152"/>
    </row>
    <row r="556" spans="1:8" hidden="1" x14ac:dyDescent="0.25">
      <c r="A556" s="145" t="s">
        <v>1446</v>
      </c>
      <c r="B556" s="145" t="s">
        <v>1457</v>
      </c>
      <c r="C556" s="145" t="s">
        <v>1441</v>
      </c>
      <c r="D556" s="145" t="s">
        <v>1452</v>
      </c>
      <c r="E556" s="149">
        <v>40570</v>
      </c>
      <c r="F556" s="146">
        <v>2</v>
      </c>
      <c r="G556" s="146">
        <v>2058</v>
      </c>
      <c r="H556" s="152"/>
    </row>
    <row r="557" spans="1:8" hidden="1" x14ac:dyDescent="0.25">
      <c r="A557" s="145" t="s">
        <v>1443</v>
      </c>
      <c r="B557" s="145" t="s">
        <v>1457</v>
      </c>
      <c r="C557" s="145" t="s">
        <v>1445</v>
      </c>
      <c r="D557" s="145" t="s">
        <v>1450</v>
      </c>
      <c r="E557" s="149">
        <v>40745</v>
      </c>
      <c r="F557" s="146">
        <v>2</v>
      </c>
      <c r="G557" s="146">
        <v>1608</v>
      </c>
      <c r="H557" s="152"/>
    </row>
    <row r="558" spans="1:8" hidden="1" x14ac:dyDescent="0.25">
      <c r="A558" s="145" t="s">
        <v>1438</v>
      </c>
      <c r="B558" s="145" t="s">
        <v>1457</v>
      </c>
      <c r="C558" s="145" t="s">
        <v>1441</v>
      </c>
      <c r="D558" s="145" t="s">
        <v>1450</v>
      </c>
      <c r="E558" s="149">
        <v>40687</v>
      </c>
      <c r="F558" s="146">
        <v>2</v>
      </c>
      <c r="G558" s="146">
        <v>1152</v>
      </c>
      <c r="H558" s="152"/>
    </row>
    <row r="559" spans="1:8" hidden="1" x14ac:dyDescent="0.25">
      <c r="A559" s="145" t="s">
        <v>1446</v>
      </c>
      <c r="B559" s="145" t="s">
        <v>1457</v>
      </c>
      <c r="C559" s="145" t="s">
        <v>1441</v>
      </c>
      <c r="D559" s="145" t="s">
        <v>1455</v>
      </c>
      <c r="E559" s="149">
        <v>40593</v>
      </c>
      <c r="F559" s="146">
        <v>3</v>
      </c>
      <c r="G559" s="146">
        <v>2637</v>
      </c>
      <c r="H559" s="152"/>
    </row>
    <row r="560" spans="1:8" hidden="1" x14ac:dyDescent="0.25">
      <c r="A560" s="145" t="s">
        <v>1443</v>
      </c>
      <c r="B560" s="145" t="s">
        <v>1457</v>
      </c>
      <c r="C560" s="145" t="s">
        <v>1439</v>
      </c>
      <c r="D560" s="145" t="s">
        <v>1455</v>
      </c>
      <c r="E560" s="149">
        <v>40515</v>
      </c>
      <c r="F560" s="146">
        <v>3</v>
      </c>
      <c r="G560" s="146">
        <v>3351</v>
      </c>
      <c r="H560" s="152"/>
    </row>
    <row r="561" spans="1:8" hidden="1" x14ac:dyDescent="0.25">
      <c r="A561" s="145" t="s">
        <v>1438</v>
      </c>
      <c r="B561" s="145" t="s">
        <v>1457</v>
      </c>
      <c r="C561" s="145" t="s">
        <v>1439</v>
      </c>
      <c r="D561" s="145" t="s">
        <v>1455</v>
      </c>
      <c r="E561" s="149">
        <v>40729</v>
      </c>
      <c r="F561" s="146">
        <v>3</v>
      </c>
      <c r="G561" s="146">
        <v>2646</v>
      </c>
      <c r="H561" s="152"/>
    </row>
    <row r="562" spans="1:8" hidden="1" x14ac:dyDescent="0.25">
      <c r="A562" s="145" t="s">
        <v>1449</v>
      </c>
      <c r="B562" s="145" t="s">
        <v>1457</v>
      </c>
      <c r="C562" s="145" t="s">
        <v>1445</v>
      </c>
      <c r="D562" s="145" t="s">
        <v>1453</v>
      </c>
      <c r="E562" s="149">
        <v>40740</v>
      </c>
      <c r="F562" s="146">
        <v>3</v>
      </c>
      <c r="G562" s="146">
        <v>3444</v>
      </c>
      <c r="H562" s="152"/>
    </row>
    <row r="563" spans="1:8" hidden="1" x14ac:dyDescent="0.25">
      <c r="A563" s="145" t="s">
        <v>1448</v>
      </c>
      <c r="B563" s="145" t="s">
        <v>1457</v>
      </c>
      <c r="C563" s="145" t="s">
        <v>1441</v>
      </c>
      <c r="D563" s="145" t="s">
        <v>1453</v>
      </c>
      <c r="E563" s="149">
        <v>40444</v>
      </c>
      <c r="F563" s="146">
        <v>3</v>
      </c>
      <c r="G563" s="146">
        <v>2760</v>
      </c>
      <c r="H563" s="152"/>
    </row>
    <row r="564" spans="1:8" hidden="1" x14ac:dyDescent="0.25">
      <c r="A564" s="145" t="s">
        <v>1438</v>
      </c>
      <c r="B564" s="145" t="s">
        <v>1457</v>
      </c>
      <c r="C564" s="145" t="s">
        <v>1439</v>
      </c>
      <c r="D564" s="145" t="s">
        <v>1453</v>
      </c>
      <c r="E564" s="149">
        <v>40400</v>
      </c>
      <c r="F564" s="146">
        <v>3</v>
      </c>
      <c r="G564" s="146">
        <v>2202</v>
      </c>
      <c r="H564" s="152"/>
    </row>
    <row r="565" spans="1:8" hidden="1" x14ac:dyDescent="0.25">
      <c r="A565" s="145" t="s">
        <v>1442</v>
      </c>
      <c r="B565" s="145" t="s">
        <v>1457</v>
      </c>
      <c r="C565" s="145" t="s">
        <v>1439</v>
      </c>
      <c r="D565" s="145" t="s">
        <v>1453</v>
      </c>
      <c r="E565" s="149">
        <v>40533</v>
      </c>
      <c r="F565" s="146">
        <v>3</v>
      </c>
      <c r="G565" s="146">
        <v>4452</v>
      </c>
      <c r="H565" s="152"/>
    </row>
    <row r="566" spans="1:8" hidden="1" x14ac:dyDescent="0.25">
      <c r="A566" s="145" t="s">
        <v>1446</v>
      </c>
      <c r="B566" s="145" t="s">
        <v>1457</v>
      </c>
      <c r="C566" s="145" t="s">
        <v>1445</v>
      </c>
      <c r="D566" s="145" t="s">
        <v>1452</v>
      </c>
      <c r="E566" s="149">
        <v>40577</v>
      </c>
      <c r="F566" s="146">
        <v>3</v>
      </c>
      <c r="G566" s="146">
        <v>1581</v>
      </c>
      <c r="H566" s="152"/>
    </row>
    <row r="567" spans="1:8" hidden="1" x14ac:dyDescent="0.25">
      <c r="A567" s="145" t="s">
        <v>1449</v>
      </c>
      <c r="B567" s="145" t="s">
        <v>1457</v>
      </c>
      <c r="C567" s="145" t="s">
        <v>1441</v>
      </c>
      <c r="D567" s="145" t="s">
        <v>1452</v>
      </c>
      <c r="E567" s="149">
        <v>40348</v>
      </c>
      <c r="F567" s="146">
        <v>3</v>
      </c>
      <c r="G567" s="146">
        <v>1665</v>
      </c>
      <c r="H567" s="152"/>
    </row>
    <row r="568" spans="1:8" hidden="1" x14ac:dyDescent="0.25">
      <c r="A568" s="145" t="s">
        <v>1448</v>
      </c>
      <c r="B568" s="145" t="s">
        <v>1457</v>
      </c>
      <c r="C568" s="145" t="s">
        <v>1439</v>
      </c>
      <c r="D568" s="145" t="s">
        <v>1452</v>
      </c>
      <c r="E568" s="149">
        <v>40310</v>
      </c>
      <c r="F568" s="146">
        <v>3</v>
      </c>
      <c r="G568" s="146">
        <v>2862</v>
      </c>
      <c r="H568" s="152"/>
    </row>
    <row r="569" spans="1:8" hidden="1" x14ac:dyDescent="0.25">
      <c r="A569" s="145" t="s">
        <v>1443</v>
      </c>
      <c r="B569" s="145" t="s">
        <v>1457</v>
      </c>
      <c r="C569" s="145" t="s">
        <v>1436</v>
      </c>
      <c r="D569" s="145" t="s">
        <v>1452</v>
      </c>
      <c r="E569" s="149">
        <v>40759</v>
      </c>
      <c r="F569" s="146">
        <v>3</v>
      </c>
      <c r="G569" s="146">
        <v>4461</v>
      </c>
      <c r="H569" s="152"/>
    </row>
    <row r="570" spans="1:8" hidden="1" x14ac:dyDescent="0.25">
      <c r="A570" s="145" t="s">
        <v>1448</v>
      </c>
      <c r="B570" s="145" t="s">
        <v>1457</v>
      </c>
      <c r="C570" s="145" t="s">
        <v>1441</v>
      </c>
      <c r="D570" s="145" t="s">
        <v>1450</v>
      </c>
      <c r="E570" s="149">
        <v>40736</v>
      </c>
      <c r="F570" s="146">
        <v>3</v>
      </c>
      <c r="G570" s="146">
        <v>1767</v>
      </c>
      <c r="H570" s="152"/>
    </row>
    <row r="571" spans="1:8" hidden="1" x14ac:dyDescent="0.25">
      <c r="A571" s="145" t="s">
        <v>1448</v>
      </c>
      <c r="B571" s="145" t="s">
        <v>1457</v>
      </c>
      <c r="C571" s="145" t="s">
        <v>1436</v>
      </c>
      <c r="D571" s="145" t="s">
        <v>1450</v>
      </c>
      <c r="E571" s="149">
        <v>40421</v>
      </c>
      <c r="F571" s="146">
        <v>3</v>
      </c>
      <c r="G571" s="146">
        <v>1590</v>
      </c>
      <c r="H571" s="152"/>
    </row>
    <row r="572" spans="1:8" hidden="1" x14ac:dyDescent="0.25">
      <c r="A572" s="145" t="s">
        <v>1443</v>
      </c>
      <c r="B572" s="145" t="s">
        <v>1457</v>
      </c>
      <c r="C572" s="145" t="s">
        <v>1436</v>
      </c>
      <c r="D572" s="145" t="s">
        <v>1450</v>
      </c>
      <c r="E572" s="149">
        <v>40693</v>
      </c>
      <c r="F572" s="146">
        <v>3</v>
      </c>
      <c r="G572" s="146">
        <v>3441</v>
      </c>
      <c r="H572" s="152"/>
    </row>
    <row r="573" spans="1:8" hidden="1" x14ac:dyDescent="0.25">
      <c r="A573" s="145" t="s">
        <v>1449</v>
      </c>
      <c r="B573" s="145" t="s">
        <v>1457</v>
      </c>
      <c r="C573" s="145" t="s">
        <v>1436</v>
      </c>
      <c r="D573" s="145" t="s">
        <v>1450</v>
      </c>
      <c r="E573" s="149">
        <v>40716</v>
      </c>
      <c r="F573" s="146">
        <v>3</v>
      </c>
      <c r="G573" s="146">
        <v>1614</v>
      </c>
      <c r="H573" s="152"/>
    </row>
    <row r="574" spans="1:8" hidden="1" x14ac:dyDescent="0.25">
      <c r="A574" s="145" t="s">
        <v>1440</v>
      </c>
      <c r="B574" s="145" t="s">
        <v>1457</v>
      </c>
      <c r="C574" s="145" t="s">
        <v>1445</v>
      </c>
      <c r="D574" s="145" t="s">
        <v>1455</v>
      </c>
      <c r="E574" s="149">
        <v>40456</v>
      </c>
      <c r="F574" s="146">
        <v>4</v>
      </c>
      <c r="G574" s="146">
        <v>5128</v>
      </c>
      <c r="H574" s="152"/>
    </row>
    <row r="575" spans="1:8" hidden="1" x14ac:dyDescent="0.25">
      <c r="A575" s="145" t="s">
        <v>1449</v>
      </c>
      <c r="B575" s="145" t="s">
        <v>1457</v>
      </c>
      <c r="C575" s="145" t="s">
        <v>1445</v>
      </c>
      <c r="D575" s="145" t="s">
        <v>1455</v>
      </c>
      <c r="E575" s="149">
        <v>40724</v>
      </c>
      <c r="F575" s="146">
        <v>4</v>
      </c>
      <c r="G575" s="146">
        <v>2312</v>
      </c>
      <c r="H575" s="152"/>
    </row>
    <row r="576" spans="1:8" hidden="1" x14ac:dyDescent="0.25">
      <c r="A576" s="145" t="s">
        <v>1451</v>
      </c>
      <c r="B576" s="145" t="s">
        <v>1457</v>
      </c>
      <c r="C576" s="145" t="s">
        <v>1441</v>
      </c>
      <c r="D576" s="145" t="s">
        <v>1455</v>
      </c>
      <c r="E576" s="149">
        <v>40464</v>
      </c>
      <c r="F576" s="146">
        <v>4</v>
      </c>
      <c r="G576" s="146">
        <v>3672</v>
      </c>
      <c r="H576" s="152"/>
    </row>
    <row r="577" spans="1:8" hidden="1" x14ac:dyDescent="0.25">
      <c r="A577" s="145" t="s">
        <v>1443</v>
      </c>
      <c r="B577" s="145" t="s">
        <v>1457</v>
      </c>
      <c r="C577" s="145" t="s">
        <v>1436</v>
      </c>
      <c r="D577" s="145" t="s">
        <v>1455</v>
      </c>
      <c r="E577" s="149">
        <v>40722</v>
      </c>
      <c r="F577" s="146">
        <v>4</v>
      </c>
      <c r="G577" s="146">
        <v>5280</v>
      </c>
      <c r="H577" s="152"/>
    </row>
    <row r="578" spans="1:8" hidden="1" x14ac:dyDescent="0.25">
      <c r="A578" s="145" t="s">
        <v>1444</v>
      </c>
      <c r="B578" s="145" t="s">
        <v>1457</v>
      </c>
      <c r="C578" s="145" t="s">
        <v>1441</v>
      </c>
      <c r="D578" s="145" t="s">
        <v>1453</v>
      </c>
      <c r="E578" s="149">
        <v>40502</v>
      </c>
      <c r="F578" s="146">
        <v>4</v>
      </c>
      <c r="G578" s="146">
        <v>3088</v>
      </c>
      <c r="H578" s="152"/>
    </row>
    <row r="579" spans="1:8" hidden="1" x14ac:dyDescent="0.25">
      <c r="A579" s="145" t="s">
        <v>1446</v>
      </c>
      <c r="B579" s="145" t="s">
        <v>1457</v>
      </c>
      <c r="C579" s="145" t="s">
        <v>1436</v>
      </c>
      <c r="D579" s="145" t="s">
        <v>1453</v>
      </c>
      <c r="E579" s="149">
        <v>40527</v>
      </c>
      <c r="F579" s="146">
        <v>4</v>
      </c>
      <c r="G579" s="146">
        <v>5300</v>
      </c>
      <c r="H579" s="152"/>
    </row>
    <row r="580" spans="1:8" hidden="1" x14ac:dyDescent="0.25">
      <c r="A580" s="145" t="s">
        <v>1454</v>
      </c>
      <c r="B580" s="145" t="s">
        <v>1457</v>
      </c>
      <c r="C580" s="145" t="s">
        <v>1445</v>
      </c>
      <c r="D580" s="145" t="s">
        <v>1455</v>
      </c>
      <c r="E580" s="149">
        <v>40253</v>
      </c>
      <c r="F580" s="146">
        <v>5</v>
      </c>
      <c r="G580" s="146">
        <v>7245</v>
      </c>
      <c r="H580" s="152"/>
    </row>
    <row r="581" spans="1:8" hidden="1" x14ac:dyDescent="0.25">
      <c r="A581" s="145" t="s">
        <v>1448</v>
      </c>
      <c r="B581" s="145" t="s">
        <v>1457</v>
      </c>
      <c r="C581" s="145" t="s">
        <v>1441</v>
      </c>
      <c r="D581" s="145" t="s">
        <v>1455</v>
      </c>
      <c r="E581" s="149">
        <v>40305</v>
      </c>
      <c r="F581" s="146">
        <v>5</v>
      </c>
      <c r="G581" s="146">
        <v>5530</v>
      </c>
      <c r="H581" s="152"/>
    </row>
    <row r="582" spans="1:8" hidden="1" x14ac:dyDescent="0.25">
      <c r="A582" s="145" t="s">
        <v>1448</v>
      </c>
      <c r="B582" s="145" t="s">
        <v>1457</v>
      </c>
      <c r="C582" s="145" t="s">
        <v>1445</v>
      </c>
      <c r="D582" s="145" t="s">
        <v>1452</v>
      </c>
      <c r="E582" s="149">
        <v>40416</v>
      </c>
      <c r="F582" s="146">
        <v>5</v>
      </c>
      <c r="G582" s="146">
        <v>2520</v>
      </c>
      <c r="H582" s="152"/>
    </row>
    <row r="583" spans="1:8" hidden="1" x14ac:dyDescent="0.25">
      <c r="A583" s="145" t="s">
        <v>1448</v>
      </c>
      <c r="B583" s="145" t="s">
        <v>1457</v>
      </c>
      <c r="C583" s="145" t="s">
        <v>1441</v>
      </c>
      <c r="D583" s="145" t="s">
        <v>1452</v>
      </c>
      <c r="E583" s="149">
        <v>40208</v>
      </c>
      <c r="F583" s="146">
        <v>5</v>
      </c>
      <c r="G583" s="150">
        <v>6315</v>
      </c>
      <c r="H583" s="152"/>
    </row>
    <row r="584" spans="1:8" hidden="1" x14ac:dyDescent="0.25">
      <c r="A584" s="145" t="s">
        <v>1438</v>
      </c>
      <c r="B584" s="145" t="s">
        <v>1457</v>
      </c>
      <c r="C584" s="145" t="s">
        <v>1445</v>
      </c>
      <c r="D584" s="145" t="s">
        <v>1450</v>
      </c>
      <c r="E584" s="149">
        <v>40878</v>
      </c>
      <c r="F584" s="146">
        <v>5</v>
      </c>
      <c r="G584" s="146">
        <v>5970</v>
      </c>
      <c r="H584" s="152"/>
    </row>
    <row r="585" spans="1:8" hidden="1" x14ac:dyDescent="0.25">
      <c r="A585" s="145" t="s">
        <v>1446</v>
      </c>
      <c r="B585" s="145" t="s">
        <v>1457</v>
      </c>
      <c r="C585" s="145" t="s">
        <v>1439</v>
      </c>
      <c r="D585" s="145" t="s">
        <v>1450</v>
      </c>
      <c r="E585" s="149">
        <v>40507</v>
      </c>
      <c r="F585" s="146">
        <v>5</v>
      </c>
      <c r="G585" s="146">
        <v>2955</v>
      </c>
      <c r="H585" s="152"/>
    </row>
    <row r="586" spans="1:8" hidden="1" x14ac:dyDescent="0.25">
      <c r="A586" s="145" t="s">
        <v>1447</v>
      </c>
      <c r="B586" s="145" t="s">
        <v>1457</v>
      </c>
      <c r="C586" s="145" t="s">
        <v>1436</v>
      </c>
      <c r="D586" s="145" t="s">
        <v>1450</v>
      </c>
      <c r="E586" s="149">
        <v>40539</v>
      </c>
      <c r="F586" s="146">
        <v>5</v>
      </c>
      <c r="G586" s="146">
        <v>4090</v>
      </c>
      <c r="H586" s="152"/>
    </row>
    <row r="587" spans="1:8" hidden="1" x14ac:dyDescent="0.25">
      <c r="A587" s="145" t="s">
        <v>1440</v>
      </c>
      <c r="B587" s="145" t="s">
        <v>1457</v>
      </c>
      <c r="C587" s="145" t="s">
        <v>1439</v>
      </c>
      <c r="D587" s="145" t="s">
        <v>1455</v>
      </c>
      <c r="E587" s="149">
        <v>40719</v>
      </c>
      <c r="F587" s="146">
        <v>6</v>
      </c>
      <c r="G587" s="146">
        <v>6456</v>
      </c>
      <c r="H587" s="152"/>
    </row>
    <row r="588" spans="1:8" hidden="1" x14ac:dyDescent="0.25">
      <c r="A588" s="145" t="s">
        <v>1448</v>
      </c>
      <c r="B588" s="145" t="s">
        <v>1457</v>
      </c>
      <c r="C588" s="145" t="s">
        <v>1436</v>
      </c>
      <c r="D588" s="145" t="s">
        <v>1455</v>
      </c>
      <c r="E588" s="149">
        <v>40361</v>
      </c>
      <c r="F588" s="146">
        <v>6</v>
      </c>
      <c r="G588" s="146">
        <v>7968</v>
      </c>
      <c r="H588" s="152"/>
    </row>
    <row r="589" spans="1:8" hidden="1" x14ac:dyDescent="0.25">
      <c r="A589" s="145" t="s">
        <v>1438</v>
      </c>
      <c r="B589" s="145" t="s">
        <v>1457</v>
      </c>
      <c r="C589" s="145" t="s">
        <v>1436</v>
      </c>
      <c r="D589" s="145" t="s">
        <v>1455</v>
      </c>
      <c r="E589" s="149">
        <v>40522</v>
      </c>
      <c r="F589" s="146">
        <v>6</v>
      </c>
      <c r="G589" s="146">
        <v>3012</v>
      </c>
      <c r="H589" s="152"/>
    </row>
    <row r="590" spans="1:8" hidden="1" x14ac:dyDescent="0.25">
      <c r="A590" s="145" t="s">
        <v>1438</v>
      </c>
      <c r="B590" s="145" t="s">
        <v>1457</v>
      </c>
      <c r="C590" s="145" t="s">
        <v>1441</v>
      </c>
      <c r="D590" s="145" t="s">
        <v>1453</v>
      </c>
      <c r="E590" s="149">
        <v>40333</v>
      </c>
      <c r="F590" s="146">
        <v>6</v>
      </c>
      <c r="G590" s="146">
        <v>8562</v>
      </c>
      <c r="H590" s="152"/>
    </row>
    <row r="591" spans="1:8" hidden="1" x14ac:dyDescent="0.25">
      <c r="A591" s="145" t="s">
        <v>1440</v>
      </c>
      <c r="B591" s="145" t="s">
        <v>1457</v>
      </c>
      <c r="C591" s="145" t="s">
        <v>1436</v>
      </c>
      <c r="D591" s="145" t="s">
        <v>1453</v>
      </c>
      <c r="E591" s="149">
        <v>40598</v>
      </c>
      <c r="F591" s="146">
        <v>6</v>
      </c>
      <c r="G591" s="146">
        <v>6288</v>
      </c>
      <c r="H591" s="152"/>
    </row>
    <row r="592" spans="1:8" hidden="1" x14ac:dyDescent="0.25">
      <c r="A592" s="145" t="s">
        <v>1443</v>
      </c>
      <c r="B592" s="145" t="s">
        <v>1457</v>
      </c>
      <c r="C592" s="145" t="s">
        <v>1439</v>
      </c>
      <c r="D592" s="145" t="s">
        <v>1452</v>
      </c>
      <c r="E592" s="149">
        <v>40660</v>
      </c>
      <c r="F592" s="146">
        <v>6</v>
      </c>
      <c r="G592" s="146">
        <v>7272</v>
      </c>
      <c r="H592" s="152"/>
    </row>
    <row r="593" spans="1:8" hidden="1" x14ac:dyDescent="0.25">
      <c r="A593" s="145" t="s">
        <v>1443</v>
      </c>
      <c r="B593" s="145" t="s">
        <v>1457</v>
      </c>
      <c r="C593" s="145" t="s">
        <v>1436</v>
      </c>
      <c r="D593" s="145" t="s">
        <v>1452</v>
      </c>
      <c r="E593" s="149">
        <v>40269</v>
      </c>
      <c r="F593" s="146">
        <v>6</v>
      </c>
      <c r="G593" s="146">
        <v>7002</v>
      </c>
      <c r="H593" s="152"/>
    </row>
    <row r="594" spans="1:8" hidden="1" x14ac:dyDescent="0.25">
      <c r="A594" s="145" t="s">
        <v>1448</v>
      </c>
      <c r="B594" s="145" t="s">
        <v>1457</v>
      </c>
      <c r="C594" s="145" t="s">
        <v>1439</v>
      </c>
      <c r="D594" s="145" t="s">
        <v>1455</v>
      </c>
      <c r="E594" s="149">
        <v>40182</v>
      </c>
      <c r="F594" s="146">
        <v>7</v>
      </c>
      <c r="G594" s="150">
        <v>4298</v>
      </c>
      <c r="H594" s="152"/>
    </row>
    <row r="595" spans="1:8" hidden="1" x14ac:dyDescent="0.25">
      <c r="A595" s="145" t="s">
        <v>1438</v>
      </c>
      <c r="B595" s="145" t="s">
        <v>1457</v>
      </c>
      <c r="C595" s="145" t="s">
        <v>1439</v>
      </c>
      <c r="D595" s="145" t="s">
        <v>1455</v>
      </c>
      <c r="E595" s="149">
        <v>40897</v>
      </c>
      <c r="F595" s="146">
        <v>7</v>
      </c>
      <c r="G595" s="146">
        <v>7308</v>
      </c>
      <c r="H595" s="152"/>
    </row>
    <row r="596" spans="1:8" hidden="1" x14ac:dyDescent="0.25">
      <c r="A596" s="145" t="s">
        <v>1448</v>
      </c>
      <c r="B596" s="145" t="s">
        <v>1457</v>
      </c>
      <c r="C596" s="145" t="s">
        <v>1436</v>
      </c>
      <c r="D596" s="145" t="s">
        <v>1455</v>
      </c>
      <c r="E596" s="149">
        <v>40798</v>
      </c>
      <c r="F596" s="146">
        <v>7</v>
      </c>
      <c r="G596" s="146">
        <v>6377</v>
      </c>
      <c r="H596" s="152"/>
    </row>
    <row r="597" spans="1:8" hidden="1" x14ac:dyDescent="0.25">
      <c r="A597" s="145" t="s">
        <v>1444</v>
      </c>
      <c r="B597" s="145" t="s">
        <v>1457</v>
      </c>
      <c r="C597" s="145" t="s">
        <v>1441</v>
      </c>
      <c r="D597" s="145" t="s">
        <v>1435</v>
      </c>
      <c r="E597" s="149">
        <v>40313</v>
      </c>
      <c r="F597" s="146">
        <v>7</v>
      </c>
      <c r="G597" s="146">
        <v>5320</v>
      </c>
      <c r="H597" s="152"/>
    </row>
    <row r="598" spans="1:8" hidden="1" x14ac:dyDescent="0.25">
      <c r="A598" s="145" t="s">
        <v>1440</v>
      </c>
      <c r="B598" s="145" t="s">
        <v>1457</v>
      </c>
      <c r="C598" s="145" t="s">
        <v>1436</v>
      </c>
      <c r="D598" s="145" t="s">
        <v>1435</v>
      </c>
      <c r="E598" s="149">
        <v>40652</v>
      </c>
      <c r="F598" s="146">
        <v>7</v>
      </c>
      <c r="G598" s="146">
        <v>7532</v>
      </c>
      <c r="H598" s="152"/>
    </row>
    <row r="599" spans="1:8" hidden="1" x14ac:dyDescent="0.25">
      <c r="A599" s="145" t="s">
        <v>1443</v>
      </c>
      <c r="B599" s="145" t="s">
        <v>1457</v>
      </c>
      <c r="C599" s="145" t="s">
        <v>1436</v>
      </c>
      <c r="D599" s="145" t="s">
        <v>1452</v>
      </c>
      <c r="E599" s="149">
        <v>40290</v>
      </c>
      <c r="F599" s="146">
        <v>7</v>
      </c>
      <c r="G599" s="146">
        <v>7007</v>
      </c>
      <c r="H599" s="152"/>
    </row>
    <row r="600" spans="1:8" hidden="1" x14ac:dyDescent="0.25">
      <c r="A600" s="145" t="s">
        <v>1447</v>
      </c>
      <c r="B600" s="145" t="s">
        <v>1457</v>
      </c>
      <c r="C600" s="145" t="s">
        <v>1436</v>
      </c>
      <c r="D600" s="145" t="s">
        <v>1452</v>
      </c>
      <c r="E600" s="149">
        <v>40648</v>
      </c>
      <c r="F600" s="146">
        <v>7</v>
      </c>
      <c r="G600" s="146">
        <v>9835</v>
      </c>
      <c r="H600" s="152"/>
    </row>
    <row r="601" spans="1:8" hidden="1" x14ac:dyDescent="0.25">
      <c r="A601" s="145" t="s">
        <v>1446</v>
      </c>
      <c r="B601" s="145" t="s">
        <v>1457</v>
      </c>
      <c r="C601" s="145" t="s">
        <v>1436</v>
      </c>
      <c r="D601" s="145" t="s">
        <v>1452</v>
      </c>
      <c r="E601" s="149">
        <v>40771</v>
      </c>
      <c r="F601" s="146">
        <v>7</v>
      </c>
      <c r="G601" s="146">
        <v>3857</v>
      </c>
      <c r="H601" s="152"/>
    </row>
    <row r="602" spans="1:8" hidden="1" x14ac:dyDescent="0.25">
      <c r="A602" s="145" t="s">
        <v>1448</v>
      </c>
      <c r="B602" s="145" t="s">
        <v>1457</v>
      </c>
      <c r="C602" s="145" t="s">
        <v>1436</v>
      </c>
      <c r="D602" s="145" t="s">
        <v>1452</v>
      </c>
      <c r="E602" s="149">
        <v>40787</v>
      </c>
      <c r="F602" s="146">
        <v>7</v>
      </c>
      <c r="G602" s="146">
        <v>9828</v>
      </c>
      <c r="H602" s="152"/>
    </row>
    <row r="603" spans="1:8" hidden="1" x14ac:dyDescent="0.25">
      <c r="A603" s="145" t="s">
        <v>1451</v>
      </c>
      <c r="B603" s="145" t="s">
        <v>1457</v>
      </c>
      <c r="C603" s="145" t="s">
        <v>1441</v>
      </c>
      <c r="D603" s="145" t="s">
        <v>1450</v>
      </c>
      <c r="E603" s="149">
        <v>40666</v>
      </c>
      <c r="F603" s="146">
        <v>7</v>
      </c>
      <c r="G603" s="146">
        <v>7203</v>
      </c>
      <c r="H603" s="152"/>
    </row>
    <row r="604" spans="1:8" hidden="1" x14ac:dyDescent="0.25">
      <c r="A604" s="145" t="s">
        <v>1448</v>
      </c>
      <c r="B604" s="145" t="s">
        <v>1457</v>
      </c>
      <c r="C604" s="145" t="s">
        <v>1441</v>
      </c>
      <c r="D604" s="145" t="s">
        <v>1450</v>
      </c>
      <c r="E604" s="149">
        <v>40809</v>
      </c>
      <c r="F604" s="146">
        <v>7</v>
      </c>
      <c r="G604" s="146">
        <v>8547</v>
      </c>
      <c r="H604" s="152"/>
    </row>
    <row r="605" spans="1:8" hidden="1" x14ac:dyDescent="0.25">
      <c r="A605" s="145" t="s">
        <v>1438</v>
      </c>
      <c r="B605" s="145" t="s">
        <v>1457</v>
      </c>
      <c r="C605" s="145" t="s">
        <v>1439</v>
      </c>
      <c r="D605" s="145" t="s">
        <v>1450</v>
      </c>
      <c r="E605" s="149">
        <v>40520</v>
      </c>
      <c r="F605" s="146">
        <v>7</v>
      </c>
      <c r="G605" s="146">
        <v>6132</v>
      </c>
      <c r="H605" s="152"/>
    </row>
    <row r="606" spans="1:8" hidden="1" x14ac:dyDescent="0.25">
      <c r="A606" s="145" t="s">
        <v>1442</v>
      </c>
      <c r="B606" s="145" t="s">
        <v>1457</v>
      </c>
      <c r="C606" s="145" t="s">
        <v>1445</v>
      </c>
      <c r="D606" s="145" t="s">
        <v>1455</v>
      </c>
      <c r="E606" s="149">
        <v>40498</v>
      </c>
      <c r="F606" s="146">
        <v>8</v>
      </c>
      <c r="G606" s="146">
        <v>11528</v>
      </c>
      <c r="H606" s="152"/>
    </row>
    <row r="607" spans="1:8" hidden="1" x14ac:dyDescent="0.25">
      <c r="A607" s="145" t="s">
        <v>1454</v>
      </c>
      <c r="B607" s="145" t="s">
        <v>1457</v>
      </c>
      <c r="C607" s="145" t="s">
        <v>1439</v>
      </c>
      <c r="D607" s="145" t="s">
        <v>1455</v>
      </c>
      <c r="E607" s="149">
        <v>40761</v>
      </c>
      <c r="F607" s="146">
        <v>8</v>
      </c>
      <c r="G607" s="146">
        <v>11048</v>
      </c>
      <c r="H607" s="152"/>
    </row>
    <row r="608" spans="1:8" hidden="1" x14ac:dyDescent="0.25">
      <c r="A608" s="145" t="s">
        <v>1456</v>
      </c>
      <c r="B608" s="145" t="s">
        <v>1457</v>
      </c>
      <c r="C608" s="145" t="s">
        <v>1445</v>
      </c>
      <c r="D608" s="145" t="s">
        <v>1435</v>
      </c>
      <c r="E608" s="149">
        <v>40558</v>
      </c>
      <c r="F608" s="146">
        <v>8</v>
      </c>
      <c r="G608" s="146">
        <v>9600</v>
      </c>
      <c r="H608" s="152"/>
    </row>
    <row r="609" spans="1:8" hidden="1" x14ac:dyDescent="0.25">
      <c r="A609" s="145" t="s">
        <v>1456</v>
      </c>
      <c r="B609" s="145" t="s">
        <v>1457</v>
      </c>
      <c r="C609" s="145" t="s">
        <v>1445</v>
      </c>
      <c r="D609" s="145" t="s">
        <v>1435</v>
      </c>
      <c r="E609" s="149">
        <v>40752</v>
      </c>
      <c r="F609" s="146">
        <v>8</v>
      </c>
      <c r="G609" s="146">
        <v>6992</v>
      </c>
      <c r="H609" s="152"/>
    </row>
    <row r="610" spans="1:8" hidden="1" x14ac:dyDescent="0.25">
      <c r="A610" s="145" t="s">
        <v>1443</v>
      </c>
      <c r="B610" s="145" t="s">
        <v>1457</v>
      </c>
      <c r="C610" s="145" t="s">
        <v>1441</v>
      </c>
      <c r="D610" s="145" t="s">
        <v>1435</v>
      </c>
      <c r="E610" s="149">
        <v>40374</v>
      </c>
      <c r="F610" s="146">
        <v>8</v>
      </c>
      <c r="G610" s="146">
        <v>7704</v>
      </c>
      <c r="H610" s="152"/>
    </row>
    <row r="611" spans="1:8" hidden="1" x14ac:dyDescent="0.25">
      <c r="A611" s="145" t="s">
        <v>1449</v>
      </c>
      <c r="B611" s="145" t="s">
        <v>1457</v>
      </c>
      <c r="C611" s="145" t="s">
        <v>1439</v>
      </c>
      <c r="D611" s="145" t="s">
        <v>1435</v>
      </c>
      <c r="E611" s="149">
        <v>40218</v>
      </c>
      <c r="F611" s="146">
        <v>8</v>
      </c>
      <c r="G611" s="146">
        <v>5360</v>
      </c>
      <c r="H611" s="152"/>
    </row>
    <row r="612" spans="1:8" hidden="1" x14ac:dyDescent="0.25">
      <c r="A612" s="145" t="s">
        <v>1446</v>
      </c>
      <c r="B612" s="145" t="s">
        <v>1457</v>
      </c>
      <c r="C612" s="145" t="s">
        <v>1439</v>
      </c>
      <c r="D612" s="145" t="s">
        <v>1435</v>
      </c>
      <c r="E612" s="149">
        <v>40670</v>
      </c>
      <c r="F612" s="146">
        <v>8</v>
      </c>
      <c r="G612" s="146">
        <v>6872</v>
      </c>
      <c r="H612" s="152"/>
    </row>
    <row r="613" spans="1:8" hidden="1" x14ac:dyDescent="0.25">
      <c r="A613" s="145" t="s">
        <v>1446</v>
      </c>
      <c r="B613" s="145" t="s">
        <v>1457</v>
      </c>
      <c r="C613" s="145" t="s">
        <v>1441</v>
      </c>
      <c r="D613" s="145" t="s">
        <v>1453</v>
      </c>
      <c r="E613" s="149">
        <v>40841</v>
      </c>
      <c r="F613" s="146">
        <v>8</v>
      </c>
      <c r="G613" s="146">
        <v>6816</v>
      </c>
      <c r="H613" s="152"/>
    </row>
    <row r="614" spans="1:8" hidden="1" x14ac:dyDescent="0.25">
      <c r="A614" s="145" t="s">
        <v>1444</v>
      </c>
      <c r="B614" s="145" t="s">
        <v>1457</v>
      </c>
      <c r="C614" s="145" t="s">
        <v>1439</v>
      </c>
      <c r="D614" s="145" t="s">
        <v>1453</v>
      </c>
      <c r="E614" s="149">
        <v>40284</v>
      </c>
      <c r="F614" s="146">
        <v>8</v>
      </c>
      <c r="G614" s="146">
        <v>5912</v>
      </c>
      <c r="H614" s="152"/>
    </row>
    <row r="615" spans="1:8" hidden="1" x14ac:dyDescent="0.25">
      <c r="A615" s="145" t="s">
        <v>1443</v>
      </c>
      <c r="B615" s="145" t="s">
        <v>1457</v>
      </c>
      <c r="C615" s="145" t="s">
        <v>1436</v>
      </c>
      <c r="D615" s="145" t="s">
        <v>1453</v>
      </c>
      <c r="E615" s="149">
        <v>40574</v>
      </c>
      <c r="F615" s="146">
        <v>8</v>
      </c>
      <c r="G615" s="146">
        <v>6424</v>
      </c>
      <c r="H615" s="152"/>
    </row>
    <row r="616" spans="1:8" hidden="1" x14ac:dyDescent="0.25">
      <c r="A616" s="145" t="s">
        <v>1456</v>
      </c>
      <c r="B616" s="145" t="s">
        <v>1457</v>
      </c>
      <c r="C616" s="145" t="s">
        <v>1445</v>
      </c>
      <c r="D616" s="145" t="s">
        <v>1452</v>
      </c>
      <c r="E616" s="149">
        <v>40736</v>
      </c>
      <c r="F616" s="146">
        <v>8</v>
      </c>
      <c r="G616" s="146">
        <v>7616</v>
      </c>
      <c r="H616" s="152"/>
    </row>
    <row r="617" spans="1:8" hidden="1" x14ac:dyDescent="0.25">
      <c r="A617" s="145" t="s">
        <v>1438</v>
      </c>
      <c r="B617" s="145" t="s">
        <v>1457</v>
      </c>
      <c r="C617" s="145" t="s">
        <v>1439</v>
      </c>
      <c r="D617" s="145" t="s">
        <v>1452</v>
      </c>
      <c r="E617" s="149">
        <v>40722</v>
      </c>
      <c r="F617" s="146">
        <v>8</v>
      </c>
      <c r="G617" s="146">
        <v>7800</v>
      </c>
      <c r="H617" s="152"/>
    </row>
    <row r="618" spans="1:8" hidden="1" x14ac:dyDescent="0.25">
      <c r="A618" s="145" t="s">
        <v>1449</v>
      </c>
      <c r="B618" s="145" t="s">
        <v>1457</v>
      </c>
      <c r="C618" s="145" t="s">
        <v>1436</v>
      </c>
      <c r="D618" s="145" t="s">
        <v>1450</v>
      </c>
      <c r="E618" s="149">
        <v>40767</v>
      </c>
      <c r="F618" s="146">
        <v>8</v>
      </c>
      <c r="G618" s="146">
        <v>6080</v>
      </c>
      <c r="H618" s="152"/>
    </row>
    <row r="619" spans="1:8" hidden="1" x14ac:dyDescent="0.25">
      <c r="A619" s="145" t="s">
        <v>1454</v>
      </c>
      <c r="B619" s="145" t="s">
        <v>1457</v>
      </c>
      <c r="C619" s="145" t="s">
        <v>1436</v>
      </c>
      <c r="D619" s="145" t="s">
        <v>1450</v>
      </c>
      <c r="E619" s="149">
        <v>40777</v>
      </c>
      <c r="F619" s="146">
        <v>8</v>
      </c>
      <c r="G619" s="146">
        <v>6864</v>
      </c>
      <c r="H619" s="152"/>
    </row>
    <row r="620" spans="1:8" hidden="1" x14ac:dyDescent="0.25">
      <c r="A620" s="145" t="s">
        <v>1449</v>
      </c>
      <c r="B620" s="145" t="s">
        <v>1457</v>
      </c>
      <c r="C620" s="145" t="s">
        <v>1436</v>
      </c>
      <c r="D620" s="145" t="s">
        <v>1455</v>
      </c>
      <c r="E620" s="149">
        <v>40252</v>
      </c>
      <c r="F620" s="146">
        <v>9</v>
      </c>
      <c r="G620" s="150">
        <v>11583</v>
      </c>
      <c r="H620" s="152"/>
    </row>
    <row r="621" spans="1:8" hidden="1" x14ac:dyDescent="0.25">
      <c r="A621" s="145" t="s">
        <v>1449</v>
      </c>
      <c r="B621" s="145" t="s">
        <v>1457</v>
      </c>
      <c r="C621" s="145" t="s">
        <v>1436</v>
      </c>
      <c r="D621" s="145" t="s">
        <v>1455</v>
      </c>
      <c r="E621" s="149">
        <v>40382</v>
      </c>
      <c r="F621" s="146">
        <v>9</v>
      </c>
      <c r="G621" s="146">
        <v>6678</v>
      </c>
      <c r="H621" s="152"/>
    </row>
    <row r="622" spans="1:8" hidden="1" x14ac:dyDescent="0.25">
      <c r="A622" s="145" t="s">
        <v>1448</v>
      </c>
      <c r="B622" s="145" t="s">
        <v>1457</v>
      </c>
      <c r="C622" s="145" t="s">
        <v>1445</v>
      </c>
      <c r="D622" s="145" t="s">
        <v>1435</v>
      </c>
      <c r="E622" s="149">
        <v>40487</v>
      </c>
      <c r="F622" s="146">
        <v>9</v>
      </c>
      <c r="G622" s="146">
        <v>5274</v>
      </c>
      <c r="H622" s="152"/>
    </row>
    <row r="623" spans="1:8" hidden="1" x14ac:dyDescent="0.25">
      <c r="A623" s="145" t="s">
        <v>1449</v>
      </c>
      <c r="B623" s="145" t="s">
        <v>1457</v>
      </c>
      <c r="C623" s="145" t="s">
        <v>1439</v>
      </c>
      <c r="D623" s="145" t="s">
        <v>1435</v>
      </c>
      <c r="E623" s="149">
        <v>40541</v>
      </c>
      <c r="F623" s="146">
        <v>9</v>
      </c>
      <c r="G623" s="146">
        <v>10494</v>
      </c>
      <c r="H623" s="152"/>
    </row>
    <row r="624" spans="1:8" hidden="1" x14ac:dyDescent="0.25">
      <c r="A624" s="145" t="s">
        <v>1443</v>
      </c>
      <c r="B624" s="145" t="s">
        <v>1457</v>
      </c>
      <c r="C624" s="145" t="s">
        <v>1439</v>
      </c>
      <c r="D624" s="145" t="s">
        <v>1435</v>
      </c>
      <c r="E624" s="149">
        <v>40631</v>
      </c>
      <c r="F624" s="146">
        <v>9</v>
      </c>
      <c r="G624" s="146">
        <v>9171</v>
      </c>
      <c r="H624" s="152"/>
    </row>
    <row r="625" spans="1:8" hidden="1" x14ac:dyDescent="0.25">
      <c r="A625" s="145" t="s">
        <v>1451</v>
      </c>
      <c r="B625" s="145" t="s">
        <v>1457</v>
      </c>
      <c r="C625" s="145" t="s">
        <v>1445</v>
      </c>
      <c r="D625" s="145" t="s">
        <v>1453</v>
      </c>
      <c r="E625" s="149">
        <v>40214</v>
      </c>
      <c r="F625" s="146">
        <v>9</v>
      </c>
      <c r="G625" s="150">
        <v>7470</v>
      </c>
      <c r="H625" s="152"/>
    </row>
    <row r="626" spans="1:8" hidden="1" x14ac:dyDescent="0.25">
      <c r="A626" s="145" t="s">
        <v>1442</v>
      </c>
      <c r="B626" s="145" t="s">
        <v>1457</v>
      </c>
      <c r="C626" s="145" t="s">
        <v>1441</v>
      </c>
      <c r="D626" s="145" t="s">
        <v>1453</v>
      </c>
      <c r="E626" s="149">
        <v>40410</v>
      </c>
      <c r="F626" s="146">
        <v>9</v>
      </c>
      <c r="G626" s="146">
        <v>4788</v>
      </c>
      <c r="H626" s="152"/>
    </row>
    <row r="627" spans="1:8" hidden="1" x14ac:dyDescent="0.25">
      <c r="A627" s="145" t="s">
        <v>1438</v>
      </c>
      <c r="B627" s="145" t="s">
        <v>1457</v>
      </c>
      <c r="C627" s="145" t="s">
        <v>1441</v>
      </c>
      <c r="D627" s="145" t="s">
        <v>1452</v>
      </c>
      <c r="E627" s="149">
        <v>40618</v>
      </c>
      <c r="F627" s="146">
        <v>9</v>
      </c>
      <c r="G627" s="146">
        <v>10422</v>
      </c>
      <c r="H627" s="152"/>
    </row>
    <row r="628" spans="1:8" hidden="1" x14ac:dyDescent="0.25">
      <c r="A628" s="145" t="s">
        <v>1451</v>
      </c>
      <c r="B628" s="145" t="s">
        <v>1457</v>
      </c>
      <c r="C628" s="145" t="s">
        <v>1441</v>
      </c>
      <c r="D628" s="145" t="s">
        <v>1452</v>
      </c>
      <c r="E628" s="149">
        <v>40656</v>
      </c>
      <c r="F628" s="146">
        <v>9</v>
      </c>
      <c r="G628" s="146">
        <v>4518</v>
      </c>
      <c r="H628" s="152"/>
    </row>
    <row r="629" spans="1:8" hidden="1" x14ac:dyDescent="0.25">
      <c r="A629" s="145" t="s">
        <v>1446</v>
      </c>
      <c r="B629" s="145" t="s">
        <v>1457</v>
      </c>
      <c r="C629" s="145" t="s">
        <v>1441</v>
      </c>
      <c r="D629" s="145" t="s">
        <v>1450</v>
      </c>
      <c r="E629" s="149">
        <v>40753</v>
      </c>
      <c r="F629" s="146">
        <v>9</v>
      </c>
      <c r="G629" s="146">
        <v>13410</v>
      </c>
      <c r="H629" s="152"/>
    </row>
    <row r="630" spans="1:8" hidden="1" x14ac:dyDescent="0.25">
      <c r="A630" s="145" t="s">
        <v>1448</v>
      </c>
      <c r="B630" s="145" t="s">
        <v>1457</v>
      </c>
      <c r="C630" s="145" t="s">
        <v>1439</v>
      </c>
      <c r="D630" s="145" t="s">
        <v>1450</v>
      </c>
      <c r="E630" s="149">
        <v>40339</v>
      </c>
      <c r="F630" s="146">
        <v>9</v>
      </c>
      <c r="G630" s="146">
        <v>12501</v>
      </c>
      <c r="H630" s="152"/>
    </row>
    <row r="631" spans="1:8" hidden="1" x14ac:dyDescent="0.25">
      <c r="A631" s="145" t="s">
        <v>1442</v>
      </c>
      <c r="B631" s="145" t="s">
        <v>1457</v>
      </c>
      <c r="C631" s="145" t="s">
        <v>1436</v>
      </c>
      <c r="D631" s="145" t="s">
        <v>1435</v>
      </c>
      <c r="E631" s="149">
        <v>40290</v>
      </c>
      <c r="F631" s="146">
        <v>10</v>
      </c>
      <c r="G631" s="146">
        <v>12750</v>
      </c>
      <c r="H631" s="152"/>
    </row>
    <row r="632" spans="1:8" hidden="1" x14ac:dyDescent="0.25">
      <c r="A632" s="145" t="s">
        <v>1444</v>
      </c>
      <c r="B632" s="145" t="s">
        <v>1457</v>
      </c>
      <c r="C632" s="145" t="s">
        <v>1436</v>
      </c>
      <c r="D632" s="145" t="s">
        <v>1435</v>
      </c>
      <c r="E632" s="149">
        <v>40491</v>
      </c>
      <c r="F632" s="146">
        <v>10</v>
      </c>
      <c r="G632" s="146">
        <v>14400</v>
      </c>
      <c r="H632" s="152"/>
    </row>
    <row r="633" spans="1:8" hidden="1" x14ac:dyDescent="0.25">
      <c r="A633" s="145" t="s">
        <v>1449</v>
      </c>
      <c r="B633" s="145" t="s">
        <v>1457</v>
      </c>
      <c r="C633" s="145" t="s">
        <v>1441</v>
      </c>
      <c r="D633" s="145" t="s">
        <v>1453</v>
      </c>
      <c r="E633" s="149">
        <v>40672</v>
      </c>
      <c r="F633" s="146">
        <v>10</v>
      </c>
      <c r="G633" s="146">
        <v>13930</v>
      </c>
      <c r="H633" s="152"/>
    </row>
    <row r="634" spans="1:8" hidden="1" x14ac:dyDescent="0.25">
      <c r="A634" s="145" t="s">
        <v>1440</v>
      </c>
      <c r="B634" s="145" t="s">
        <v>1457</v>
      </c>
      <c r="C634" s="145" t="s">
        <v>1439</v>
      </c>
      <c r="D634" s="145" t="s">
        <v>1453</v>
      </c>
      <c r="E634" s="149">
        <v>40351</v>
      </c>
      <c r="F634" s="146">
        <v>10</v>
      </c>
      <c r="G634" s="146">
        <v>10770</v>
      </c>
      <c r="H634" s="152"/>
    </row>
    <row r="635" spans="1:8" hidden="1" x14ac:dyDescent="0.25">
      <c r="A635" s="145" t="s">
        <v>1440</v>
      </c>
      <c r="B635" s="145" t="s">
        <v>1457</v>
      </c>
      <c r="C635" s="145" t="s">
        <v>1439</v>
      </c>
      <c r="D635" s="145" t="s">
        <v>1453</v>
      </c>
      <c r="E635" s="149">
        <v>40750</v>
      </c>
      <c r="F635" s="146">
        <v>10</v>
      </c>
      <c r="G635" s="146">
        <v>14800</v>
      </c>
      <c r="H635" s="152"/>
    </row>
    <row r="636" spans="1:8" hidden="1" x14ac:dyDescent="0.25">
      <c r="A636" s="145" t="s">
        <v>1449</v>
      </c>
      <c r="B636" s="145" t="s">
        <v>1457</v>
      </c>
      <c r="C636" s="145" t="s">
        <v>1445</v>
      </c>
      <c r="D636" s="145" t="s">
        <v>1452</v>
      </c>
      <c r="E636" s="149">
        <v>40387</v>
      </c>
      <c r="F636" s="146">
        <v>10</v>
      </c>
      <c r="G636" s="146">
        <v>12130</v>
      </c>
      <c r="H636" s="152"/>
    </row>
    <row r="637" spans="1:8" hidden="1" x14ac:dyDescent="0.25">
      <c r="A637" s="145" t="s">
        <v>1442</v>
      </c>
      <c r="B637" s="145" t="s">
        <v>1457</v>
      </c>
      <c r="C637" s="145" t="s">
        <v>1445</v>
      </c>
      <c r="D637" s="145" t="s">
        <v>1452</v>
      </c>
      <c r="E637" s="149">
        <v>40728</v>
      </c>
      <c r="F637" s="146">
        <v>10</v>
      </c>
      <c r="G637" s="146">
        <v>6940</v>
      </c>
      <c r="H637" s="152"/>
    </row>
    <row r="638" spans="1:8" hidden="1" x14ac:dyDescent="0.25">
      <c r="A638" s="145" t="s">
        <v>1440</v>
      </c>
      <c r="B638" s="145" t="s">
        <v>1457</v>
      </c>
      <c r="C638" s="145" t="s">
        <v>1436</v>
      </c>
      <c r="D638" s="145" t="s">
        <v>1452</v>
      </c>
      <c r="E638" s="149">
        <v>40186</v>
      </c>
      <c r="F638" s="146">
        <v>10</v>
      </c>
      <c r="G638" s="150">
        <v>6290</v>
      </c>
      <c r="H638" s="152"/>
    </row>
    <row r="639" spans="1:8" hidden="1" x14ac:dyDescent="0.25">
      <c r="A639" s="145" t="s">
        <v>1451</v>
      </c>
      <c r="B639" s="145" t="s">
        <v>1457</v>
      </c>
      <c r="C639" s="145" t="s">
        <v>1436</v>
      </c>
      <c r="D639" s="145" t="s">
        <v>1452</v>
      </c>
      <c r="E639" s="149">
        <v>40211</v>
      </c>
      <c r="F639" s="146">
        <v>10</v>
      </c>
      <c r="G639" s="150">
        <v>10620</v>
      </c>
      <c r="H639" s="152"/>
    </row>
    <row r="640" spans="1:8" hidden="1" x14ac:dyDescent="0.25">
      <c r="A640" s="145" t="s">
        <v>1451</v>
      </c>
      <c r="B640" s="145" t="s">
        <v>1457</v>
      </c>
      <c r="C640" s="145" t="s">
        <v>1436</v>
      </c>
      <c r="D640" s="145" t="s">
        <v>1452</v>
      </c>
      <c r="E640" s="149">
        <v>40239</v>
      </c>
      <c r="F640" s="146">
        <v>10</v>
      </c>
      <c r="G640" s="150">
        <v>15000</v>
      </c>
      <c r="H640" s="152"/>
    </row>
    <row r="641" spans="1:8" hidden="1" x14ac:dyDescent="0.25">
      <c r="A641" s="145" t="s">
        <v>1443</v>
      </c>
      <c r="B641" s="145" t="s">
        <v>1457</v>
      </c>
      <c r="C641" s="145" t="s">
        <v>1445</v>
      </c>
      <c r="D641" s="145" t="s">
        <v>1450</v>
      </c>
      <c r="E641" s="149">
        <v>40519</v>
      </c>
      <c r="F641" s="146">
        <v>10</v>
      </c>
      <c r="G641" s="146">
        <v>8120</v>
      </c>
      <c r="H641" s="152"/>
    </row>
    <row r="642" spans="1:8" hidden="1" x14ac:dyDescent="0.25">
      <c r="A642" s="145" t="s">
        <v>1446</v>
      </c>
      <c r="B642" s="145" t="s">
        <v>1457</v>
      </c>
      <c r="C642" s="145" t="s">
        <v>1445</v>
      </c>
      <c r="D642" s="145" t="s">
        <v>1450</v>
      </c>
      <c r="E642" s="149">
        <v>40565</v>
      </c>
      <c r="F642" s="146">
        <v>10</v>
      </c>
      <c r="G642" s="146">
        <v>6320</v>
      </c>
      <c r="H642" s="152"/>
    </row>
    <row r="643" spans="1:8" hidden="1" x14ac:dyDescent="0.25">
      <c r="A643" s="145" t="s">
        <v>1447</v>
      </c>
      <c r="B643" s="145" t="s">
        <v>1457</v>
      </c>
      <c r="C643" s="145" t="s">
        <v>1439</v>
      </c>
      <c r="D643" s="145" t="s">
        <v>1450</v>
      </c>
      <c r="E643" s="149">
        <v>40498</v>
      </c>
      <c r="F643" s="146">
        <v>10</v>
      </c>
      <c r="G643" s="146">
        <v>9360</v>
      </c>
      <c r="H643" s="152"/>
    </row>
    <row r="644" spans="1:8" hidden="1" x14ac:dyDescent="0.25">
      <c r="A644" s="145" t="s">
        <v>1448</v>
      </c>
      <c r="B644" s="145" t="s">
        <v>1457</v>
      </c>
      <c r="C644" s="145" t="s">
        <v>1445</v>
      </c>
      <c r="D644" s="145" t="s">
        <v>1455</v>
      </c>
      <c r="E644" s="149">
        <v>40899</v>
      </c>
      <c r="F644" s="146">
        <v>11</v>
      </c>
      <c r="G644" s="146">
        <v>5841</v>
      </c>
      <c r="H644" s="152"/>
    </row>
    <row r="645" spans="1:8" hidden="1" x14ac:dyDescent="0.25">
      <c r="A645" s="145" t="s">
        <v>1454</v>
      </c>
      <c r="B645" s="145" t="s">
        <v>1457</v>
      </c>
      <c r="C645" s="145" t="s">
        <v>1439</v>
      </c>
      <c r="D645" s="145" t="s">
        <v>1455</v>
      </c>
      <c r="E645" s="149">
        <v>40191</v>
      </c>
      <c r="F645" s="146">
        <v>11</v>
      </c>
      <c r="G645" s="150">
        <v>10010</v>
      </c>
      <c r="H645" s="152"/>
    </row>
    <row r="646" spans="1:8" hidden="1" x14ac:dyDescent="0.25">
      <c r="A646" s="145" t="s">
        <v>1443</v>
      </c>
      <c r="B646" s="145" t="s">
        <v>1457</v>
      </c>
      <c r="C646" s="145" t="s">
        <v>1436</v>
      </c>
      <c r="D646" s="145" t="s">
        <v>1435</v>
      </c>
      <c r="E646" s="149">
        <v>40288</v>
      </c>
      <c r="F646" s="146">
        <v>11</v>
      </c>
      <c r="G646" s="146">
        <v>6204</v>
      </c>
      <c r="H646" s="152"/>
    </row>
    <row r="647" spans="1:8" hidden="1" x14ac:dyDescent="0.25">
      <c r="A647" s="145" t="s">
        <v>1451</v>
      </c>
      <c r="B647" s="145" t="s">
        <v>1457</v>
      </c>
      <c r="C647" s="145" t="s">
        <v>1436</v>
      </c>
      <c r="D647" s="145" t="s">
        <v>1435</v>
      </c>
      <c r="E647" s="149">
        <v>40423</v>
      </c>
      <c r="F647" s="146">
        <v>11</v>
      </c>
      <c r="G647" s="146">
        <v>6721</v>
      </c>
      <c r="H647" s="152"/>
    </row>
    <row r="648" spans="1:8" hidden="1" x14ac:dyDescent="0.25">
      <c r="A648" s="145" t="s">
        <v>1443</v>
      </c>
      <c r="B648" s="145" t="s">
        <v>1457</v>
      </c>
      <c r="C648" s="145" t="s">
        <v>1441</v>
      </c>
      <c r="D648" s="145" t="s">
        <v>1453</v>
      </c>
      <c r="E648" s="149">
        <v>40666</v>
      </c>
      <c r="F648" s="146">
        <v>11</v>
      </c>
      <c r="G648" s="146">
        <v>8140</v>
      </c>
      <c r="H648" s="152"/>
    </row>
    <row r="649" spans="1:8" hidden="1" x14ac:dyDescent="0.25">
      <c r="A649" s="145" t="s">
        <v>1444</v>
      </c>
      <c r="B649" s="145" t="s">
        <v>1457</v>
      </c>
      <c r="C649" s="145" t="s">
        <v>1445</v>
      </c>
      <c r="D649" s="145" t="s">
        <v>1452</v>
      </c>
      <c r="E649" s="149">
        <v>40201</v>
      </c>
      <c r="F649" s="146">
        <v>11</v>
      </c>
      <c r="G649" s="150">
        <v>16181</v>
      </c>
      <c r="H649" s="152"/>
    </row>
    <row r="650" spans="1:8" hidden="1" x14ac:dyDescent="0.25">
      <c r="A650" s="145" t="s">
        <v>1451</v>
      </c>
      <c r="B650" s="145" t="s">
        <v>1457</v>
      </c>
      <c r="C650" s="145" t="s">
        <v>1445</v>
      </c>
      <c r="D650" s="145" t="s">
        <v>1452</v>
      </c>
      <c r="E650" s="149">
        <v>40541</v>
      </c>
      <c r="F650" s="146">
        <v>11</v>
      </c>
      <c r="G650" s="146">
        <v>6886</v>
      </c>
      <c r="H650" s="152"/>
    </row>
    <row r="651" spans="1:8" hidden="1" x14ac:dyDescent="0.25">
      <c r="A651" s="145" t="s">
        <v>1444</v>
      </c>
      <c r="B651" s="145" t="s">
        <v>1457</v>
      </c>
      <c r="C651" s="145" t="s">
        <v>1441</v>
      </c>
      <c r="D651" s="145" t="s">
        <v>1452</v>
      </c>
      <c r="E651" s="149">
        <v>40501</v>
      </c>
      <c r="F651" s="146">
        <v>11</v>
      </c>
      <c r="G651" s="146">
        <v>8217</v>
      </c>
      <c r="H651" s="152"/>
    </row>
    <row r="652" spans="1:8" hidden="1" x14ac:dyDescent="0.25">
      <c r="A652" s="145" t="s">
        <v>1438</v>
      </c>
      <c r="B652" s="145" t="s">
        <v>1457</v>
      </c>
      <c r="C652" s="145" t="s">
        <v>1439</v>
      </c>
      <c r="D652" s="145" t="s">
        <v>1452</v>
      </c>
      <c r="E652" s="149">
        <v>40352</v>
      </c>
      <c r="F652" s="146">
        <v>11</v>
      </c>
      <c r="G652" s="146">
        <v>8481</v>
      </c>
      <c r="H652" s="152"/>
    </row>
    <row r="653" spans="1:8" hidden="1" x14ac:dyDescent="0.25">
      <c r="A653" s="145" t="s">
        <v>1454</v>
      </c>
      <c r="B653" s="145" t="s">
        <v>1457</v>
      </c>
      <c r="C653" s="145" t="s">
        <v>1445</v>
      </c>
      <c r="D653" s="145" t="s">
        <v>1450</v>
      </c>
      <c r="E653" s="149">
        <v>40708</v>
      </c>
      <c r="F653" s="146">
        <v>11</v>
      </c>
      <c r="G653" s="146">
        <v>10835</v>
      </c>
      <c r="H653" s="152"/>
    </row>
    <row r="654" spans="1:8" hidden="1" x14ac:dyDescent="0.25">
      <c r="A654" s="145" t="s">
        <v>1447</v>
      </c>
      <c r="B654" s="145" t="s">
        <v>1457</v>
      </c>
      <c r="C654" s="145" t="s">
        <v>1445</v>
      </c>
      <c r="D654" s="145" t="s">
        <v>1450</v>
      </c>
      <c r="E654" s="149">
        <v>40814</v>
      </c>
      <c r="F654" s="146">
        <v>11</v>
      </c>
      <c r="G654" s="146">
        <v>11253</v>
      </c>
      <c r="H654" s="152"/>
    </row>
    <row r="655" spans="1:8" hidden="1" x14ac:dyDescent="0.25">
      <c r="A655" s="145" t="s">
        <v>1448</v>
      </c>
      <c r="B655" s="145" t="s">
        <v>1457</v>
      </c>
      <c r="C655" s="145" t="s">
        <v>1441</v>
      </c>
      <c r="D655" s="145" t="s">
        <v>1450</v>
      </c>
      <c r="E655" s="149">
        <v>40708</v>
      </c>
      <c r="F655" s="146">
        <v>11</v>
      </c>
      <c r="G655" s="146">
        <v>7733</v>
      </c>
      <c r="H655" s="152"/>
    </row>
    <row r="656" spans="1:8" hidden="1" x14ac:dyDescent="0.25">
      <c r="A656" s="145" t="s">
        <v>1448</v>
      </c>
      <c r="B656" s="145" t="s">
        <v>1457</v>
      </c>
      <c r="C656" s="145" t="s">
        <v>1441</v>
      </c>
      <c r="D656" s="145" t="s">
        <v>1455</v>
      </c>
      <c r="E656" s="149">
        <v>40554</v>
      </c>
      <c r="F656" s="146">
        <v>12</v>
      </c>
      <c r="G656" s="146">
        <v>10224</v>
      </c>
      <c r="H656" s="152"/>
    </row>
    <row r="657" spans="1:8" hidden="1" x14ac:dyDescent="0.25">
      <c r="A657" s="145" t="s">
        <v>1438</v>
      </c>
      <c r="B657" s="145" t="s">
        <v>1457</v>
      </c>
      <c r="C657" s="145" t="s">
        <v>1439</v>
      </c>
      <c r="D657" s="145" t="s">
        <v>1455</v>
      </c>
      <c r="E657" s="149">
        <v>40241</v>
      </c>
      <c r="F657" s="146">
        <v>12</v>
      </c>
      <c r="G657" s="150">
        <v>7824</v>
      </c>
      <c r="H657" s="152"/>
    </row>
    <row r="658" spans="1:8" hidden="1" x14ac:dyDescent="0.25">
      <c r="A658" s="145" t="s">
        <v>1447</v>
      </c>
      <c r="B658" s="145" t="s">
        <v>1457</v>
      </c>
      <c r="C658" s="145" t="s">
        <v>1439</v>
      </c>
      <c r="D658" s="145" t="s">
        <v>1455</v>
      </c>
      <c r="E658" s="149">
        <v>40473</v>
      </c>
      <c r="F658" s="146">
        <v>12</v>
      </c>
      <c r="G658" s="146">
        <v>15144</v>
      </c>
      <c r="H658" s="152"/>
    </row>
    <row r="659" spans="1:8" hidden="1" x14ac:dyDescent="0.25">
      <c r="A659" s="145" t="s">
        <v>1454</v>
      </c>
      <c r="B659" s="145" t="s">
        <v>1457</v>
      </c>
      <c r="C659" s="145" t="s">
        <v>1445</v>
      </c>
      <c r="D659" s="145" t="s">
        <v>1435</v>
      </c>
      <c r="E659" s="149">
        <v>40183</v>
      </c>
      <c r="F659" s="146">
        <v>12</v>
      </c>
      <c r="G659" s="146">
        <v>10692</v>
      </c>
      <c r="H659" s="152"/>
    </row>
    <row r="660" spans="1:8" hidden="1" x14ac:dyDescent="0.25">
      <c r="A660" s="145" t="s">
        <v>1442</v>
      </c>
      <c r="B660" s="145" t="s">
        <v>1457</v>
      </c>
      <c r="C660" s="145" t="s">
        <v>1445</v>
      </c>
      <c r="D660" s="145" t="s">
        <v>1435</v>
      </c>
      <c r="E660" s="149">
        <v>40283</v>
      </c>
      <c r="F660" s="146">
        <v>12</v>
      </c>
      <c r="G660" s="146">
        <v>12672</v>
      </c>
      <c r="H660" s="152"/>
    </row>
    <row r="661" spans="1:8" hidden="1" x14ac:dyDescent="0.25">
      <c r="A661" s="145" t="s">
        <v>1442</v>
      </c>
      <c r="B661" s="145" t="s">
        <v>1457</v>
      </c>
      <c r="C661" s="145" t="s">
        <v>1445</v>
      </c>
      <c r="D661" s="145" t="s">
        <v>1435</v>
      </c>
      <c r="E661" s="149">
        <v>40354</v>
      </c>
      <c r="F661" s="146">
        <v>12</v>
      </c>
      <c r="G661" s="146">
        <v>8568</v>
      </c>
      <c r="H661" s="152"/>
    </row>
    <row r="662" spans="1:8" hidden="1" x14ac:dyDescent="0.25">
      <c r="A662" s="145" t="s">
        <v>1449</v>
      </c>
      <c r="B662" s="145" t="s">
        <v>1457</v>
      </c>
      <c r="C662" s="145" t="s">
        <v>1441</v>
      </c>
      <c r="D662" s="145" t="s">
        <v>1435</v>
      </c>
      <c r="E662" s="149">
        <v>40413</v>
      </c>
      <c r="F662" s="146">
        <v>12</v>
      </c>
      <c r="G662" s="146">
        <v>17328</v>
      </c>
      <c r="H662" s="152"/>
    </row>
    <row r="663" spans="1:8" hidden="1" x14ac:dyDescent="0.25">
      <c r="A663" s="145" t="s">
        <v>1442</v>
      </c>
      <c r="B663" s="145" t="s">
        <v>1457</v>
      </c>
      <c r="C663" s="145" t="s">
        <v>1445</v>
      </c>
      <c r="D663" s="145" t="s">
        <v>1453</v>
      </c>
      <c r="E663" s="149">
        <v>40417</v>
      </c>
      <c r="F663" s="146">
        <v>12</v>
      </c>
      <c r="G663" s="146">
        <v>17160</v>
      </c>
      <c r="H663" s="152"/>
    </row>
    <row r="664" spans="1:8" hidden="1" x14ac:dyDescent="0.25">
      <c r="A664" s="145" t="s">
        <v>1440</v>
      </c>
      <c r="B664" s="145" t="s">
        <v>1457</v>
      </c>
      <c r="C664" s="145" t="s">
        <v>1441</v>
      </c>
      <c r="D664" s="145" t="s">
        <v>1453</v>
      </c>
      <c r="E664" s="149">
        <v>40738</v>
      </c>
      <c r="F664" s="146">
        <v>12</v>
      </c>
      <c r="G664" s="146">
        <v>7152</v>
      </c>
      <c r="H664" s="152"/>
    </row>
    <row r="665" spans="1:8" hidden="1" x14ac:dyDescent="0.25">
      <c r="A665" s="145" t="s">
        <v>1438</v>
      </c>
      <c r="B665" s="145" t="s">
        <v>1457</v>
      </c>
      <c r="C665" s="145" t="s">
        <v>1436</v>
      </c>
      <c r="D665" s="145" t="s">
        <v>1453</v>
      </c>
      <c r="E665" s="149">
        <v>40863</v>
      </c>
      <c r="F665" s="146">
        <v>12</v>
      </c>
      <c r="G665" s="146">
        <v>13140</v>
      </c>
      <c r="H665" s="152"/>
    </row>
    <row r="666" spans="1:8" hidden="1" x14ac:dyDescent="0.25">
      <c r="A666" s="145" t="s">
        <v>1444</v>
      </c>
      <c r="B666" s="145" t="s">
        <v>1457</v>
      </c>
      <c r="C666" s="145" t="s">
        <v>1445</v>
      </c>
      <c r="D666" s="145" t="s">
        <v>1452</v>
      </c>
      <c r="E666" s="149">
        <v>40330</v>
      </c>
      <c r="F666" s="146">
        <v>12</v>
      </c>
      <c r="G666" s="146">
        <v>7608</v>
      </c>
      <c r="H666" s="152"/>
    </row>
    <row r="667" spans="1:8" hidden="1" x14ac:dyDescent="0.25">
      <c r="A667" s="145" t="s">
        <v>1444</v>
      </c>
      <c r="B667" s="145" t="s">
        <v>1457</v>
      </c>
      <c r="C667" s="145" t="s">
        <v>1441</v>
      </c>
      <c r="D667" s="145" t="s">
        <v>1452</v>
      </c>
      <c r="E667" s="149">
        <v>40365</v>
      </c>
      <c r="F667" s="146">
        <v>12</v>
      </c>
      <c r="G667" s="146">
        <v>14340</v>
      </c>
      <c r="H667" s="152"/>
    </row>
    <row r="668" spans="1:8" hidden="1" x14ac:dyDescent="0.25">
      <c r="A668" s="145" t="s">
        <v>1456</v>
      </c>
      <c r="B668" s="145" t="s">
        <v>1457</v>
      </c>
      <c r="C668" s="145" t="s">
        <v>1441</v>
      </c>
      <c r="D668" s="145" t="s">
        <v>1452</v>
      </c>
      <c r="E668" s="149">
        <v>40736</v>
      </c>
      <c r="F668" s="146">
        <v>12</v>
      </c>
      <c r="G668" s="146">
        <v>6396</v>
      </c>
      <c r="H668" s="152"/>
    </row>
    <row r="669" spans="1:8" hidden="1" x14ac:dyDescent="0.25">
      <c r="A669" s="145" t="s">
        <v>1451</v>
      </c>
      <c r="B669" s="145" t="s">
        <v>1457</v>
      </c>
      <c r="C669" s="145" t="s">
        <v>1439</v>
      </c>
      <c r="D669" s="145" t="s">
        <v>1452</v>
      </c>
      <c r="E669" s="149">
        <v>40442</v>
      </c>
      <c r="F669" s="146">
        <v>12</v>
      </c>
      <c r="G669" s="146">
        <v>6648</v>
      </c>
      <c r="H669" s="152"/>
    </row>
    <row r="670" spans="1:8" hidden="1" x14ac:dyDescent="0.25">
      <c r="A670" s="145" t="s">
        <v>1442</v>
      </c>
      <c r="B670" s="145" t="s">
        <v>1457</v>
      </c>
      <c r="C670" s="145" t="s">
        <v>1441</v>
      </c>
      <c r="D670" s="145" t="s">
        <v>1450</v>
      </c>
      <c r="E670" s="149">
        <v>40283</v>
      </c>
      <c r="F670" s="146">
        <v>12</v>
      </c>
      <c r="G670" s="146">
        <v>14616</v>
      </c>
      <c r="H670" s="152"/>
    </row>
    <row r="671" spans="1:8" hidden="1" x14ac:dyDescent="0.25">
      <c r="A671" s="145" t="s">
        <v>1443</v>
      </c>
      <c r="B671" s="145" t="s">
        <v>1457</v>
      </c>
      <c r="C671" s="145" t="s">
        <v>1436</v>
      </c>
      <c r="D671" s="145" t="s">
        <v>1450</v>
      </c>
      <c r="E671" s="149">
        <v>40471</v>
      </c>
      <c r="F671" s="146">
        <v>12</v>
      </c>
      <c r="G671" s="146">
        <v>17388</v>
      </c>
      <c r="H671" s="152"/>
    </row>
    <row r="672" spans="1:8" hidden="1" x14ac:dyDescent="0.25">
      <c r="A672" s="145" t="s">
        <v>1444</v>
      </c>
      <c r="B672" s="145" t="s">
        <v>1457</v>
      </c>
      <c r="C672" s="145" t="s">
        <v>1445</v>
      </c>
      <c r="D672" s="145" t="s">
        <v>1455</v>
      </c>
      <c r="E672" s="149">
        <v>40427</v>
      </c>
      <c r="F672" s="146">
        <v>13</v>
      </c>
      <c r="G672" s="146">
        <v>18304</v>
      </c>
      <c r="H672" s="152"/>
    </row>
    <row r="673" spans="1:8" hidden="1" x14ac:dyDescent="0.25">
      <c r="A673" s="145" t="s">
        <v>1456</v>
      </c>
      <c r="B673" s="145" t="s">
        <v>1457</v>
      </c>
      <c r="C673" s="145" t="s">
        <v>1441</v>
      </c>
      <c r="D673" s="145" t="s">
        <v>1455</v>
      </c>
      <c r="E673" s="149">
        <v>40764</v>
      </c>
      <c r="F673" s="146">
        <v>13</v>
      </c>
      <c r="G673" s="146">
        <v>6864</v>
      </c>
      <c r="H673" s="152"/>
    </row>
    <row r="674" spans="1:8" hidden="1" x14ac:dyDescent="0.25">
      <c r="A674" s="145" t="s">
        <v>1444</v>
      </c>
      <c r="B674" s="145" t="s">
        <v>1457</v>
      </c>
      <c r="C674" s="145" t="s">
        <v>1439</v>
      </c>
      <c r="D674" s="145" t="s">
        <v>1455</v>
      </c>
      <c r="E674" s="149">
        <v>40275</v>
      </c>
      <c r="F674" s="146">
        <v>13</v>
      </c>
      <c r="G674" s="146">
        <v>15171</v>
      </c>
      <c r="H674" s="152"/>
    </row>
    <row r="675" spans="1:8" hidden="1" x14ac:dyDescent="0.25">
      <c r="A675" s="145" t="s">
        <v>1443</v>
      </c>
      <c r="B675" s="145" t="s">
        <v>1457</v>
      </c>
      <c r="C675" s="145" t="s">
        <v>1439</v>
      </c>
      <c r="D675" s="145" t="s">
        <v>1455</v>
      </c>
      <c r="E675" s="149">
        <v>40491</v>
      </c>
      <c r="F675" s="146">
        <v>13</v>
      </c>
      <c r="G675" s="146">
        <v>15821</v>
      </c>
      <c r="H675" s="152"/>
    </row>
    <row r="676" spans="1:8" hidden="1" x14ac:dyDescent="0.25">
      <c r="A676" s="145" t="s">
        <v>1442</v>
      </c>
      <c r="B676" s="145" t="s">
        <v>1457</v>
      </c>
      <c r="C676" s="145" t="s">
        <v>1436</v>
      </c>
      <c r="D676" s="145" t="s">
        <v>1455</v>
      </c>
      <c r="E676" s="149">
        <v>40772</v>
      </c>
      <c r="F676" s="146">
        <v>13</v>
      </c>
      <c r="G676" s="146">
        <v>14079</v>
      </c>
      <c r="H676" s="152"/>
    </row>
    <row r="677" spans="1:8" hidden="1" x14ac:dyDescent="0.25">
      <c r="A677" s="145" t="s">
        <v>1456</v>
      </c>
      <c r="B677" s="145" t="s">
        <v>1457</v>
      </c>
      <c r="C677" s="145" t="s">
        <v>1441</v>
      </c>
      <c r="D677" s="145" t="s">
        <v>1435</v>
      </c>
      <c r="E677" s="149">
        <v>40498</v>
      </c>
      <c r="F677" s="146">
        <v>13</v>
      </c>
      <c r="G677" s="146">
        <v>6682</v>
      </c>
      <c r="H677" s="152"/>
    </row>
    <row r="678" spans="1:8" hidden="1" x14ac:dyDescent="0.25">
      <c r="A678" s="145" t="s">
        <v>1440</v>
      </c>
      <c r="B678" s="145" t="s">
        <v>1457</v>
      </c>
      <c r="C678" s="145" t="s">
        <v>1439</v>
      </c>
      <c r="D678" s="145" t="s">
        <v>1435</v>
      </c>
      <c r="E678" s="149">
        <v>40518</v>
      </c>
      <c r="F678" s="146">
        <v>13</v>
      </c>
      <c r="G678" s="146">
        <v>15639</v>
      </c>
      <c r="H678" s="152"/>
    </row>
    <row r="679" spans="1:8" hidden="1" x14ac:dyDescent="0.25">
      <c r="A679" s="145" t="s">
        <v>1438</v>
      </c>
      <c r="B679" s="145" t="s">
        <v>1457</v>
      </c>
      <c r="C679" s="145" t="s">
        <v>1436</v>
      </c>
      <c r="D679" s="145" t="s">
        <v>1435</v>
      </c>
      <c r="E679" s="149">
        <v>40432</v>
      </c>
      <c r="F679" s="146">
        <v>13</v>
      </c>
      <c r="G679" s="146">
        <v>18226</v>
      </c>
      <c r="H679" s="152"/>
    </row>
    <row r="680" spans="1:8" hidden="1" x14ac:dyDescent="0.25">
      <c r="A680" s="145" t="s">
        <v>1447</v>
      </c>
      <c r="B680" s="145" t="s">
        <v>1457</v>
      </c>
      <c r="C680" s="145" t="s">
        <v>1445</v>
      </c>
      <c r="D680" s="145" t="s">
        <v>1452</v>
      </c>
      <c r="E680" s="149">
        <v>40274</v>
      </c>
      <c r="F680" s="146">
        <v>13</v>
      </c>
      <c r="G680" s="146">
        <v>12155</v>
      </c>
      <c r="H680" s="152"/>
    </row>
    <row r="681" spans="1:8" hidden="1" x14ac:dyDescent="0.25">
      <c r="A681" s="145" t="s">
        <v>1451</v>
      </c>
      <c r="B681" s="145" t="s">
        <v>1457</v>
      </c>
      <c r="C681" s="145" t="s">
        <v>1439</v>
      </c>
      <c r="D681" s="145" t="s">
        <v>1452</v>
      </c>
      <c r="E681" s="149">
        <v>40379</v>
      </c>
      <c r="F681" s="146">
        <v>13</v>
      </c>
      <c r="G681" s="146">
        <v>15015</v>
      </c>
      <c r="H681" s="152"/>
    </row>
    <row r="682" spans="1:8" hidden="1" x14ac:dyDescent="0.25">
      <c r="A682" s="145" t="s">
        <v>1449</v>
      </c>
      <c r="B682" s="145" t="s">
        <v>1457</v>
      </c>
      <c r="C682" s="145" t="s">
        <v>1439</v>
      </c>
      <c r="D682" s="145" t="s">
        <v>1435</v>
      </c>
      <c r="E682" s="149">
        <v>40218</v>
      </c>
      <c r="F682" s="146">
        <v>14</v>
      </c>
      <c r="G682" s="146">
        <v>10402</v>
      </c>
      <c r="H682" s="152"/>
    </row>
    <row r="683" spans="1:8" hidden="1" x14ac:dyDescent="0.25">
      <c r="A683" s="145" t="s">
        <v>1451</v>
      </c>
      <c r="B683" s="145" t="s">
        <v>1457</v>
      </c>
      <c r="C683" s="145" t="s">
        <v>1445</v>
      </c>
      <c r="D683" s="145" t="s">
        <v>1453</v>
      </c>
      <c r="E683" s="149">
        <v>40214</v>
      </c>
      <c r="F683" s="146">
        <v>14</v>
      </c>
      <c r="G683" s="150">
        <v>16632</v>
      </c>
      <c r="H683" s="152"/>
    </row>
    <row r="684" spans="1:8" hidden="1" x14ac:dyDescent="0.25">
      <c r="A684" s="145" t="s">
        <v>1454</v>
      </c>
      <c r="B684" s="145" t="s">
        <v>1457</v>
      </c>
      <c r="C684" s="145" t="s">
        <v>1441</v>
      </c>
      <c r="D684" s="145" t="s">
        <v>1453</v>
      </c>
      <c r="E684" s="149">
        <v>40338</v>
      </c>
      <c r="F684" s="146">
        <v>14</v>
      </c>
      <c r="G684" s="146">
        <v>16086</v>
      </c>
      <c r="H684" s="152"/>
    </row>
    <row r="685" spans="1:8" hidden="1" x14ac:dyDescent="0.25">
      <c r="A685" s="145" t="s">
        <v>1443</v>
      </c>
      <c r="B685" s="145" t="s">
        <v>1457</v>
      </c>
      <c r="C685" s="145" t="s">
        <v>1436</v>
      </c>
      <c r="D685" s="145" t="s">
        <v>1453</v>
      </c>
      <c r="E685" s="149">
        <v>40729</v>
      </c>
      <c r="F685" s="146">
        <v>14</v>
      </c>
      <c r="G685" s="146">
        <v>20020</v>
      </c>
      <c r="H685" s="152"/>
    </row>
    <row r="686" spans="1:8" hidden="1" x14ac:dyDescent="0.25">
      <c r="A686" s="145" t="s">
        <v>1438</v>
      </c>
      <c r="B686" s="145" t="s">
        <v>1457</v>
      </c>
      <c r="C686" s="145" t="s">
        <v>1445</v>
      </c>
      <c r="D686" s="145" t="s">
        <v>1452</v>
      </c>
      <c r="E686" s="149">
        <v>40438</v>
      </c>
      <c r="F686" s="146">
        <v>14</v>
      </c>
      <c r="G686" s="146">
        <v>11564</v>
      </c>
      <c r="H686" s="152"/>
    </row>
    <row r="687" spans="1:8" hidden="1" x14ac:dyDescent="0.25">
      <c r="A687" s="145" t="s">
        <v>1440</v>
      </c>
      <c r="B687" s="145" t="s">
        <v>1457</v>
      </c>
      <c r="C687" s="145" t="s">
        <v>1445</v>
      </c>
      <c r="D687" s="145" t="s">
        <v>1452</v>
      </c>
      <c r="E687" s="149">
        <v>40561</v>
      </c>
      <c r="F687" s="146">
        <v>14</v>
      </c>
      <c r="G687" s="146">
        <v>16422</v>
      </c>
      <c r="H687" s="152"/>
    </row>
    <row r="688" spans="1:8" hidden="1" x14ac:dyDescent="0.25">
      <c r="A688" s="145" t="s">
        <v>1451</v>
      </c>
      <c r="B688" s="145" t="s">
        <v>1457</v>
      </c>
      <c r="C688" s="145" t="s">
        <v>1445</v>
      </c>
      <c r="D688" s="145" t="s">
        <v>1455</v>
      </c>
      <c r="E688" s="149">
        <v>40885</v>
      </c>
      <c r="F688" s="146">
        <v>15</v>
      </c>
      <c r="G688" s="146">
        <v>8520</v>
      </c>
      <c r="H688" s="152"/>
    </row>
    <row r="689" spans="1:8" hidden="1" x14ac:dyDescent="0.25">
      <c r="A689" s="145" t="s">
        <v>1447</v>
      </c>
      <c r="B689" s="145" t="s">
        <v>1457</v>
      </c>
      <c r="C689" s="145" t="s">
        <v>1436</v>
      </c>
      <c r="D689" s="145" t="s">
        <v>1455</v>
      </c>
      <c r="E689" s="149">
        <v>40737</v>
      </c>
      <c r="F689" s="146">
        <v>15</v>
      </c>
      <c r="G689" s="146">
        <v>12765</v>
      </c>
      <c r="H689" s="152"/>
    </row>
    <row r="690" spans="1:8" hidden="1" x14ac:dyDescent="0.25">
      <c r="A690" s="145" t="s">
        <v>1440</v>
      </c>
      <c r="B690" s="145" t="s">
        <v>1457</v>
      </c>
      <c r="C690" s="145" t="s">
        <v>1445</v>
      </c>
      <c r="D690" s="145" t="s">
        <v>1435</v>
      </c>
      <c r="E690" s="149">
        <v>40225</v>
      </c>
      <c r="F690" s="146">
        <v>15</v>
      </c>
      <c r="G690" s="146">
        <v>8325</v>
      </c>
      <c r="H690" s="152"/>
    </row>
    <row r="691" spans="1:8" hidden="1" x14ac:dyDescent="0.25">
      <c r="A691" s="145" t="s">
        <v>1447</v>
      </c>
      <c r="B691" s="145" t="s">
        <v>1457</v>
      </c>
      <c r="C691" s="145" t="s">
        <v>1441</v>
      </c>
      <c r="D691" s="145" t="s">
        <v>1453</v>
      </c>
      <c r="E691" s="149">
        <v>40820</v>
      </c>
      <c r="F691" s="146">
        <v>15</v>
      </c>
      <c r="G691" s="146">
        <v>20790</v>
      </c>
      <c r="H691" s="152"/>
    </row>
    <row r="692" spans="1:8" hidden="1" x14ac:dyDescent="0.25">
      <c r="A692" s="145" t="s">
        <v>1440</v>
      </c>
      <c r="B692" s="145" t="s">
        <v>1457</v>
      </c>
      <c r="C692" s="145" t="s">
        <v>1436</v>
      </c>
      <c r="D692" s="145" t="s">
        <v>1453</v>
      </c>
      <c r="E692" s="149">
        <v>40673</v>
      </c>
      <c r="F692" s="146">
        <v>15</v>
      </c>
      <c r="G692" s="146">
        <v>19050</v>
      </c>
      <c r="H692" s="152"/>
    </row>
    <row r="693" spans="1:8" hidden="1" x14ac:dyDescent="0.25">
      <c r="A693" s="145" t="s">
        <v>1456</v>
      </c>
      <c r="B693" s="145" t="s">
        <v>1457</v>
      </c>
      <c r="C693" s="145" t="s">
        <v>1436</v>
      </c>
      <c r="D693" s="145" t="s">
        <v>1453</v>
      </c>
      <c r="E693" s="149">
        <v>40717</v>
      </c>
      <c r="F693" s="146">
        <v>15</v>
      </c>
      <c r="G693" s="146">
        <v>16860</v>
      </c>
      <c r="H693" s="152"/>
    </row>
    <row r="694" spans="1:8" hidden="1" x14ac:dyDescent="0.25">
      <c r="A694" s="145" t="s">
        <v>1440</v>
      </c>
      <c r="B694" s="145" t="s">
        <v>1457</v>
      </c>
      <c r="C694" s="145" t="s">
        <v>1439</v>
      </c>
      <c r="D694" s="145" t="s">
        <v>1450</v>
      </c>
      <c r="E694" s="149">
        <v>40728</v>
      </c>
      <c r="F694" s="146">
        <v>15</v>
      </c>
      <c r="G694" s="146">
        <v>13725</v>
      </c>
      <c r="H694" s="152"/>
    </row>
    <row r="695" spans="1:8" hidden="1" x14ac:dyDescent="0.25">
      <c r="A695" s="145" t="s">
        <v>1451</v>
      </c>
      <c r="B695" s="145" t="s">
        <v>1457</v>
      </c>
      <c r="C695" s="145" t="s">
        <v>1439</v>
      </c>
      <c r="D695" s="145" t="s">
        <v>1450</v>
      </c>
      <c r="E695" s="149">
        <v>40779</v>
      </c>
      <c r="F695" s="146">
        <v>15</v>
      </c>
      <c r="G695" s="146">
        <v>12450</v>
      </c>
      <c r="H695" s="152"/>
    </row>
    <row r="696" spans="1:8" hidden="1" x14ac:dyDescent="0.25">
      <c r="A696" s="145" t="s">
        <v>1456</v>
      </c>
      <c r="B696" s="145" t="s">
        <v>1457</v>
      </c>
      <c r="C696" s="145" t="s">
        <v>1436</v>
      </c>
      <c r="D696" s="145" t="s">
        <v>1450</v>
      </c>
      <c r="E696" s="149">
        <v>40798</v>
      </c>
      <c r="F696" s="146">
        <v>15</v>
      </c>
      <c r="G696" s="146">
        <v>18315</v>
      </c>
      <c r="H696" s="152"/>
    </row>
    <row r="697" spans="1:8" hidden="1" x14ac:dyDescent="0.25">
      <c r="A697" s="145" t="s">
        <v>1447</v>
      </c>
      <c r="B697" s="145" t="s">
        <v>1457</v>
      </c>
      <c r="C697" s="145" t="s">
        <v>1445</v>
      </c>
      <c r="D697" s="145" t="s">
        <v>1435</v>
      </c>
      <c r="E697" s="149">
        <v>40550</v>
      </c>
      <c r="F697" s="146">
        <v>16</v>
      </c>
      <c r="G697" s="146">
        <v>10880</v>
      </c>
      <c r="H697" s="152"/>
    </row>
    <row r="698" spans="1:8" hidden="1" x14ac:dyDescent="0.25">
      <c r="A698" s="145" t="s">
        <v>1449</v>
      </c>
      <c r="B698" s="145" t="s">
        <v>1457</v>
      </c>
      <c r="C698" s="145" t="s">
        <v>1441</v>
      </c>
      <c r="D698" s="145" t="s">
        <v>1435</v>
      </c>
      <c r="E698" s="149">
        <v>40679</v>
      </c>
      <c r="F698" s="146">
        <v>17</v>
      </c>
      <c r="G698" s="146">
        <v>10115</v>
      </c>
      <c r="H698" s="152"/>
    </row>
    <row r="699" spans="1:8" hidden="1" x14ac:dyDescent="0.25">
      <c r="A699" s="145" t="s">
        <v>1443</v>
      </c>
      <c r="B699" s="145" t="s">
        <v>1457</v>
      </c>
      <c r="C699" s="145" t="s">
        <v>1436</v>
      </c>
      <c r="D699" s="145" t="s">
        <v>1435</v>
      </c>
      <c r="E699" s="149">
        <v>40221</v>
      </c>
      <c r="F699" s="146">
        <v>17</v>
      </c>
      <c r="G699" s="146">
        <v>15011</v>
      </c>
      <c r="H699" s="152"/>
    </row>
    <row r="700" spans="1:8" hidden="1" x14ac:dyDescent="0.25">
      <c r="A700" s="145" t="s">
        <v>1456</v>
      </c>
      <c r="B700" s="145" t="s">
        <v>1457</v>
      </c>
      <c r="C700" s="145" t="s">
        <v>1439</v>
      </c>
      <c r="D700" s="145" t="s">
        <v>1435</v>
      </c>
      <c r="E700" s="149">
        <v>40618</v>
      </c>
      <c r="F700" s="146">
        <v>18</v>
      </c>
      <c r="G700" s="146">
        <v>9864</v>
      </c>
      <c r="H700" s="152"/>
    </row>
    <row r="701" spans="1:8" hidden="1" x14ac:dyDescent="0.25">
      <c r="A701" s="145" t="s">
        <v>1444</v>
      </c>
      <c r="B701" s="145" t="s">
        <v>1457</v>
      </c>
      <c r="C701" s="145" t="s">
        <v>1441</v>
      </c>
      <c r="D701" s="145" t="s">
        <v>1435</v>
      </c>
      <c r="E701" s="149">
        <v>40530</v>
      </c>
      <c r="F701" s="146">
        <v>19</v>
      </c>
      <c r="G701" s="146">
        <v>15371</v>
      </c>
      <c r="H701" s="152"/>
    </row>
    <row r="702" spans="1:8" hidden="1" x14ac:dyDescent="0.25">
      <c r="A702" s="145" t="s">
        <v>1447</v>
      </c>
      <c r="B702" s="145" t="s">
        <v>1457</v>
      </c>
      <c r="C702" s="145" t="s">
        <v>1436</v>
      </c>
      <c r="D702" s="145" t="s">
        <v>1435</v>
      </c>
      <c r="E702" s="149">
        <v>40816</v>
      </c>
      <c r="F702" s="146">
        <v>19</v>
      </c>
      <c r="G702" s="146">
        <v>28234</v>
      </c>
      <c r="H702" s="152"/>
    </row>
    <row r="703" spans="1:8" hidden="1" x14ac:dyDescent="0.25">
      <c r="A703" s="145" t="s">
        <v>1456</v>
      </c>
      <c r="B703" s="145" t="s">
        <v>1457</v>
      </c>
      <c r="C703" s="145" t="s">
        <v>1439</v>
      </c>
      <c r="D703" s="145" t="s">
        <v>1435</v>
      </c>
      <c r="E703" s="149">
        <v>40198</v>
      </c>
      <c r="F703" s="146">
        <v>20</v>
      </c>
      <c r="G703" s="146">
        <v>12720</v>
      </c>
      <c r="H703" s="152"/>
    </row>
    <row r="704" spans="1:8" hidden="1" x14ac:dyDescent="0.25">
      <c r="A704" s="145" t="s">
        <v>1449</v>
      </c>
      <c r="B704" s="145" t="s">
        <v>1457</v>
      </c>
      <c r="C704" s="145" t="s">
        <v>1439</v>
      </c>
      <c r="D704" s="145" t="s">
        <v>1435</v>
      </c>
      <c r="E704" s="149">
        <v>40451</v>
      </c>
      <c r="F704" s="146">
        <v>20</v>
      </c>
      <c r="G704" s="146">
        <v>11480</v>
      </c>
      <c r="H704" s="152"/>
    </row>
    <row r="705" spans="1:8" hidden="1" x14ac:dyDescent="0.25">
      <c r="A705" s="145" t="s">
        <v>1449</v>
      </c>
      <c r="B705" s="145" t="s">
        <v>1457</v>
      </c>
      <c r="C705" s="145" t="s">
        <v>1436</v>
      </c>
      <c r="D705" s="145" t="s">
        <v>1435</v>
      </c>
      <c r="E705" s="149">
        <v>40225</v>
      </c>
      <c r="F705" s="146">
        <v>20</v>
      </c>
      <c r="G705" s="146">
        <v>26840</v>
      </c>
      <c r="H705" s="152"/>
    </row>
    <row r="706" spans="1:8" hidden="1" x14ac:dyDescent="0.25">
      <c r="A706" s="145" t="s">
        <v>1449</v>
      </c>
      <c r="B706" s="145" t="s">
        <v>1457</v>
      </c>
      <c r="C706" s="145" t="s">
        <v>1436</v>
      </c>
      <c r="D706" s="145" t="s">
        <v>1435</v>
      </c>
      <c r="E706" s="149">
        <v>40261</v>
      </c>
      <c r="F706" s="146">
        <v>20</v>
      </c>
      <c r="G706" s="146">
        <v>16620</v>
      </c>
      <c r="H706" s="152"/>
    </row>
    <row r="707" spans="1:8" hidden="1" x14ac:dyDescent="0.25">
      <c r="A707" s="145" t="s">
        <v>1449</v>
      </c>
      <c r="B707" s="145" t="s">
        <v>1457</v>
      </c>
      <c r="C707" s="145" t="s">
        <v>1436</v>
      </c>
      <c r="D707" s="145" t="s">
        <v>1435</v>
      </c>
      <c r="E707" s="149">
        <v>40539</v>
      </c>
      <c r="F707" s="146">
        <v>20</v>
      </c>
      <c r="G707" s="146">
        <v>27120</v>
      </c>
      <c r="H707" s="152"/>
    </row>
    <row r="708" spans="1:8" hidden="1" x14ac:dyDescent="0.25">
      <c r="A708" s="145" t="s">
        <v>1446</v>
      </c>
      <c r="B708" s="145" t="s">
        <v>1437</v>
      </c>
      <c r="C708" s="145" t="s">
        <v>1441</v>
      </c>
      <c r="D708" s="145" t="s">
        <v>1455</v>
      </c>
      <c r="E708" s="149">
        <v>40445</v>
      </c>
      <c r="F708" s="146">
        <v>1</v>
      </c>
      <c r="G708" s="146">
        <v>953</v>
      </c>
      <c r="H708" s="152"/>
    </row>
    <row r="709" spans="1:8" hidden="1" x14ac:dyDescent="0.25">
      <c r="A709" s="145" t="s">
        <v>1444</v>
      </c>
      <c r="B709" s="145" t="s">
        <v>1437</v>
      </c>
      <c r="C709" s="145" t="s">
        <v>1436</v>
      </c>
      <c r="D709" s="145" t="s">
        <v>1455</v>
      </c>
      <c r="E709" s="149">
        <v>40549</v>
      </c>
      <c r="F709" s="146">
        <v>1</v>
      </c>
      <c r="G709" s="146">
        <v>1272</v>
      </c>
      <c r="H709" s="152"/>
    </row>
    <row r="710" spans="1:8" hidden="1" x14ac:dyDescent="0.25">
      <c r="A710" s="145" t="s">
        <v>1443</v>
      </c>
      <c r="B710" s="145" t="s">
        <v>1437</v>
      </c>
      <c r="C710" s="145" t="s">
        <v>1445</v>
      </c>
      <c r="D710" s="145" t="s">
        <v>1453</v>
      </c>
      <c r="E710" s="149">
        <v>40255</v>
      </c>
      <c r="F710" s="146">
        <v>1</v>
      </c>
      <c r="G710" s="146">
        <v>1775</v>
      </c>
      <c r="H710" s="152"/>
    </row>
    <row r="711" spans="1:8" hidden="1" x14ac:dyDescent="0.25">
      <c r="A711" s="145" t="s">
        <v>1442</v>
      </c>
      <c r="B711" s="145" t="s">
        <v>1437</v>
      </c>
      <c r="C711" s="145" t="s">
        <v>1445</v>
      </c>
      <c r="D711" s="145" t="s">
        <v>1453</v>
      </c>
      <c r="E711" s="149">
        <v>40288</v>
      </c>
      <c r="F711" s="146">
        <v>1</v>
      </c>
      <c r="G711" s="146">
        <v>419</v>
      </c>
      <c r="H711" s="152"/>
    </row>
    <row r="712" spans="1:8" hidden="1" x14ac:dyDescent="0.25">
      <c r="A712" s="145" t="s">
        <v>1446</v>
      </c>
      <c r="B712" s="145" t="s">
        <v>1437</v>
      </c>
      <c r="C712" s="145" t="s">
        <v>1439</v>
      </c>
      <c r="D712" s="145" t="s">
        <v>1453</v>
      </c>
      <c r="E712" s="149">
        <v>40456</v>
      </c>
      <c r="F712" s="146">
        <v>1</v>
      </c>
      <c r="G712" s="146">
        <v>950</v>
      </c>
      <c r="H712" s="152"/>
    </row>
    <row r="713" spans="1:8" hidden="1" x14ac:dyDescent="0.25">
      <c r="A713" s="145" t="s">
        <v>1448</v>
      </c>
      <c r="B713" s="145" t="s">
        <v>1437</v>
      </c>
      <c r="C713" s="145" t="s">
        <v>1439</v>
      </c>
      <c r="D713" s="145" t="s">
        <v>1452</v>
      </c>
      <c r="E713" s="149">
        <v>40775</v>
      </c>
      <c r="F713" s="146">
        <v>1</v>
      </c>
      <c r="G713" s="146">
        <v>1105</v>
      </c>
      <c r="H713" s="152"/>
    </row>
    <row r="714" spans="1:8" hidden="1" x14ac:dyDescent="0.25">
      <c r="A714" s="145" t="s">
        <v>1443</v>
      </c>
      <c r="B714" s="145" t="s">
        <v>1437</v>
      </c>
      <c r="C714" s="145" t="s">
        <v>1445</v>
      </c>
      <c r="D714" s="145" t="s">
        <v>1450</v>
      </c>
      <c r="E714" s="149">
        <v>40448</v>
      </c>
      <c r="F714" s="146">
        <v>1</v>
      </c>
      <c r="G714" s="146">
        <v>1174</v>
      </c>
      <c r="H714" s="152"/>
    </row>
    <row r="715" spans="1:8" hidden="1" x14ac:dyDescent="0.25">
      <c r="A715" s="145" t="s">
        <v>1438</v>
      </c>
      <c r="B715" s="145" t="s">
        <v>1437</v>
      </c>
      <c r="C715" s="145" t="s">
        <v>1441</v>
      </c>
      <c r="D715" s="145" t="s">
        <v>1450</v>
      </c>
      <c r="E715" s="149">
        <v>40243</v>
      </c>
      <c r="F715" s="146">
        <v>1</v>
      </c>
      <c r="G715" s="150">
        <v>1530</v>
      </c>
      <c r="H715" s="152"/>
    </row>
    <row r="716" spans="1:8" hidden="1" x14ac:dyDescent="0.25">
      <c r="A716" s="145" t="s">
        <v>1447</v>
      </c>
      <c r="B716" s="145" t="s">
        <v>1437</v>
      </c>
      <c r="C716" s="145" t="s">
        <v>1441</v>
      </c>
      <c r="D716" s="145" t="s">
        <v>1450</v>
      </c>
      <c r="E716" s="149">
        <v>40554</v>
      </c>
      <c r="F716" s="146">
        <v>1</v>
      </c>
      <c r="G716" s="146">
        <v>632</v>
      </c>
      <c r="H716" s="152"/>
    </row>
    <row r="717" spans="1:8" hidden="1" x14ac:dyDescent="0.25">
      <c r="A717" s="145" t="s">
        <v>1454</v>
      </c>
      <c r="B717" s="145" t="s">
        <v>1437</v>
      </c>
      <c r="C717" s="145" t="s">
        <v>1441</v>
      </c>
      <c r="D717" s="145" t="s">
        <v>1450</v>
      </c>
      <c r="E717" s="149">
        <v>40821</v>
      </c>
      <c r="F717" s="146">
        <v>1</v>
      </c>
      <c r="G717" s="146">
        <v>630</v>
      </c>
      <c r="H717" s="152"/>
    </row>
    <row r="718" spans="1:8" hidden="1" x14ac:dyDescent="0.25">
      <c r="A718" s="145" t="s">
        <v>1456</v>
      </c>
      <c r="B718" s="145" t="s">
        <v>1437</v>
      </c>
      <c r="C718" s="145" t="s">
        <v>1441</v>
      </c>
      <c r="D718" s="145" t="s">
        <v>1450</v>
      </c>
      <c r="E718" s="149">
        <v>40826</v>
      </c>
      <c r="F718" s="146">
        <v>1</v>
      </c>
      <c r="G718" s="146">
        <v>1939</v>
      </c>
      <c r="H718" s="152"/>
    </row>
    <row r="719" spans="1:8" hidden="1" x14ac:dyDescent="0.25">
      <c r="A719" s="145" t="s">
        <v>1448</v>
      </c>
      <c r="B719" s="145" t="s">
        <v>1437</v>
      </c>
      <c r="C719" s="145" t="s">
        <v>1436</v>
      </c>
      <c r="D719" s="145" t="s">
        <v>1450</v>
      </c>
      <c r="E719" s="149">
        <v>40771</v>
      </c>
      <c r="F719" s="146">
        <v>1</v>
      </c>
      <c r="G719" s="146">
        <v>1284</v>
      </c>
      <c r="H719" s="152"/>
    </row>
    <row r="720" spans="1:8" hidden="1" x14ac:dyDescent="0.25">
      <c r="A720" s="145" t="s">
        <v>1447</v>
      </c>
      <c r="B720" s="145" t="s">
        <v>1437</v>
      </c>
      <c r="C720" s="145" t="s">
        <v>1441</v>
      </c>
      <c r="D720" s="145" t="s">
        <v>1455</v>
      </c>
      <c r="E720" s="149">
        <v>40288</v>
      </c>
      <c r="F720" s="146">
        <v>2</v>
      </c>
      <c r="G720" s="146">
        <v>3694</v>
      </c>
      <c r="H720" s="152"/>
    </row>
    <row r="721" spans="1:8" hidden="1" x14ac:dyDescent="0.25">
      <c r="A721" s="145" t="s">
        <v>1448</v>
      </c>
      <c r="B721" s="145" t="s">
        <v>1437</v>
      </c>
      <c r="C721" s="145" t="s">
        <v>1441</v>
      </c>
      <c r="D721" s="145" t="s">
        <v>1455</v>
      </c>
      <c r="E721" s="149">
        <v>40859</v>
      </c>
      <c r="F721" s="146">
        <v>2</v>
      </c>
      <c r="G721" s="146">
        <v>1584</v>
      </c>
      <c r="H721" s="152"/>
    </row>
    <row r="722" spans="1:8" hidden="1" x14ac:dyDescent="0.25">
      <c r="A722" s="145" t="s">
        <v>1440</v>
      </c>
      <c r="B722" s="145" t="s">
        <v>1437</v>
      </c>
      <c r="C722" s="145" t="s">
        <v>1439</v>
      </c>
      <c r="D722" s="145" t="s">
        <v>1455</v>
      </c>
      <c r="E722" s="149">
        <v>40547</v>
      </c>
      <c r="F722" s="146">
        <v>2</v>
      </c>
      <c r="G722" s="146">
        <v>3768</v>
      </c>
      <c r="H722" s="152"/>
    </row>
    <row r="723" spans="1:8" hidden="1" x14ac:dyDescent="0.25">
      <c r="A723" s="145" t="s">
        <v>1448</v>
      </c>
      <c r="B723" s="145" t="s">
        <v>1437</v>
      </c>
      <c r="C723" s="145" t="s">
        <v>1436</v>
      </c>
      <c r="D723" s="145" t="s">
        <v>1455</v>
      </c>
      <c r="E723" s="149">
        <v>40302</v>
      </c>
      <c r="F723" s="146">
        <v>2</v>
      </c>
      <c r="G723" s="146">
        <v>2064</v>
      </c>
      <c r="H723" s="152"/>
    </row>
    <row r="724" spans="1:8" hidden="1" x14ac:dyDescent="0.25">
      <c r="A724" s="145" t="s">
        <v>1446</v>
      </c>
      <c r="B724" s="145" t="s">
        <v>1437</v>
      </c>
      <c r="C724" s="145" t="s">
        <v>1441</v>
      </c>
      <c r="D724" s="145" t="s">
        <v>1453</v>
      </c>
      <c r="E724" s="149">
        <v>40654</v>
      </c>
      <c r="F724" s="146">
        <v>2</v>
      </c>
      <c r="G724" s="146">
        <v>2158</v>
      </c>
      <c r="H724" s="152"/>
    </row>
    <row r="725" spans="1:8" hidden="1" x14ac:dyDescent="0.25">
      <c r="A725" s="145" t="s">
        <v>1438</v>
      </c>
      <c r="B725" s="145" t="s">
        <v>1437</v>
      </c>
      <c r="C725" s="145" t="s">
        <v>1436</v>
      </c>
      <c r="D725" s="145" t="s">
        <v>1453</v>
      </c>
      <c r="E725" s="149">
        <v>40589</v>
      </c>
      <c r="F725" s="146">
        <v>2</v>
      </c>
      <c r="G725" s="146">
        <v>2020</v>
      </c>
      <c r="H725" s="152"/>
    </row>
    <row r="726" spans="1:8" hidden="1" x14ac:dyDescent="0.25">
      <c r="A726" s="145" t="s">
        <v>1451</v>
      </c>
      <c r="B726" s="145" t="s">
        <v>1437</v>
      </c>
      <c r="C726" s="145" t="s">
        <v>1441</v>
      </c>
      <c r="D726" s="145" t="s">
        <v>1452</v>
      </c>
      <c r="E726" s="149">
        <v>40181</v>
      </c>
      <c r="F726" s="146">
        <v>2</v>
      </c>
      <c r="G726" s="150">
        <v>1430</v>
      </c>
      <c r="H726" s="152"/>
    </row>
    <row r="727" spans="1:8" hidden="1" x14ac:dyDescent="0.25">
      <c r="A727" s="145" t="s">
        <v>1448</v>
      </c>
      <c r="B727" s="145" t="s">
        <v>1437</v>
      </c>
      <c r="C727" s="145" t="s">
        <v>1441</v>
      </c>
      <c r="D727" s="145" t="s">
        <v>1452</v>
      </c>
      <c r="E727" s="149">
        <v>40491</v>
      </c>
      <c r="F727" s="146">
        <v>2</v>
      </c>
      <c r="G727" s="146">
        <v>3698</v>
      </c>
      <c r="H727" s="152"/>
    </row>
    <row r="728" spans="1:8" hidden="1" x14ac:dyDescent="0.25">
      <c r="A728" s="145" t="s">
        <v>1443</v>
      </c>
      <c r="B728" s="145" t="s">
        <v>1437</v>
      </c>
      <c r="C728" s="145" t="s">
        <v>1439</v>
      </c>
      <c r="D728" s="145" t="s">
        <v>1452</v>
      </c>
      <c r="E728" s="149">
        <v>40353</v>
      </c>
      <c r="F728" s="146">
        <v>2</v>
      </c>
      <c r="G728" s="146">
        <v>1146</v>
      </c>
      <c r="H728" s="152"/>
    </row>
    <row r="729" spans="1:8" hidden="1" x14ac:dyDescent="0.25">
      <c r="A729" s="145" t="s">
        <v>1443</v>
      </c>
      <c r="B729" s="145" t="s">
        <v>1437</v>
      </c>
      <c r="C729" s="145" t="s">
        <v>1436</v>
      </c>
      <c r="D729" s="145" t="s">
        <v>1452</v>
      </c>
      <c r="E729" s="149">
        <v>40481</v>
      </c>
      <c r="F729" s="146">
        <v>2</v>
      </c>
      <c r="G729" s="146">
        <v>1660</v>
      </c>
      <c r="H729" s="152"/>
    </row>
    <row r="730" spans="1:8" hidden="1" x14ac:dyDescent="0.25">
      <c r="A730" s="145" t="s">
        <v>1447</v>
      </c>
      <c r="B730" s="145" t="s">
        <v>1437</v>
      </c>
      <c r="C730" s="145" t="s">
        <v>1445</v>
      </c>
      <c r="D730" s="145" t="s">
        <v>1450</v>
      </c>
      <c r="E730" s="149">
        <v>40274</v>
      </c>
      <c r="F730" s="146">
        <v>2</v>
      </c>
      <c r="G730" s="146">
        <v>1020</v>
      </c>
      <c r="H730" s="152"/>
    </row>
    <row r="731" spans="1:8" hidden="1" x14ac:dyDescent="0.25">
      <c r="A731" s="145" t="s">
        <v>1440</v>
      </c>
      <c r="B731" s="145" t="s">
        <v>1437</v>
      </c>
      <c r="C731" s="145" t="s">
        <v>1445</v>
      </c>
      <c r="D731" s="145" t="s">
        <v>1450</v>
      </c>
      <c r="E731" s="149">
        <v>40470</v>
      </c>
      <c r="F731" s="146">
        <v>2</v>
      </c>
      <c r="G731" s="146">
        <v>3370</v>
      </c>
      <c r="H731" s="152"/>
    </row>
    <row r="732" spans="1:8" hidden="1" x14ac:dyDescent="0.25">
      <c r="A732" s="145" t="s">
        <v>1446</v>
      </c>
      <c r="B732" s="145" t="s">
        <v>1437</v>
      </c>
      <c r="C732" s="145" t="s">
        <v>1441</v>
      </c>
      <c r="D732" s="145" t="s">
        <v>1450</v>
      </c>
      <c r="E732" s="149">
        <v>40396</v>
      </c>
      <c r="F732" s="146">
        <v>2</v>
      </c>
      <c r="G732" s="146">
        <v>1644</v>
      </c>
      <c r="H732" s="152"/>
    </row>
    <row r="733" spans="1:8" hidden="1" x14ac:dyDescent="0.25">
      <c r="A733" s="145" t="s">
        <v>1449</v>
      </c>
      <c r="B733" s="145" t="s">
        <v>1437</v>
      </c>
      <c r="C733" s="145" t="s">
        <v>1441</v>
      </c>
      <c r="D733" s="145" t="s">
        <v>1450</v>
      </c>
      <c r="E733" s="149">
        <v>40875</v>
      </c>
      <c r="F733" s="146">
        <v>2</v>
      </c>
      <c r="G733" s="146">
        <v>3766</v>
      </c>
      <c r="H733" s="152"/>
    </row>
    <row r="734" spans="1:8" hidden="1" x14ac:dyDescent="0.25">
      <c r="A734" s="145" t="s">
        <v>1443</v>
      </c>
      <c r="B734" s="145" t="s">
        <v>1437</v>
      </c>
      <c r="C734" s="145" t="s">
        <v>1445</v>
      </c>
      <c r="D734" s="145" t="s">
        <v>1455</v>
      </c>
      <c r="E734" s="149">
        <v>40318</v>
      </c>
      <c r="F734" s="146">
        <v>3</v>
      </c>
      <c r="G734" s="146">
        <v>4161</v>
      </c>
      <c r="H734" s="152"/>
    </row>
    <row r="735" spans="1:8" hidden="1" x14ac:dyDescent="0.25">
      <c r="A735" s="145" t="s">
        <v>1440</v>
      </c>
      <c r="B735" s="145" t="s">
        <v>1437</v>
      </c>
      <c r="C735" s="145" t="s">
        <v>1445</v>
      </c>
      <c r="D735" s="145" t="s">
        <v>1455</v>
      </c>
      <c r="E735" s="149">
        <v>40385</v>
      </c>
      <c r="F735" s="146">
        <v>3</v>
      </c>
      <c r="G735" s="146">
        <v>4566</v>
      </c>
      <c r="H735" s="152"/>
    </row>
    <row r="736" spans="1:8" hidden="1" x14ac:dyDescent="0.25">
      <c r="A736" s="145" t="s">
        <v>1438</v>
      </c>
      <c r="B736" s="145" t="s">
        <v>1437</v>
      </c>
      <c r="C736" s="145" t="s">
        <v>1445</v>
      </c>
      <c r="D736" s="145" t="s">
        <v>1455</v>
      </c>
      <c r="E736" s="149">
        <v>40536</v>
      </c>
      <c r="F736" s="146">
        <v>3</v>
      </c>
      <c r="G736" s="146">
        <v>1953</v>
      </c>
      <c r="H736" s="152"/>
    </row>
    <row r="737" spans="1:8" hidden="1" x14ac:dyDescent="0.25">
      <c r="A737" s="145" t="s">
        <v>1440</v>
      </c>
      <c r="B737" s="145" t="s">
        <v>1437</v>
      </c>
      <c r="C737" s="145" t="s">
        <v>1439</v>
      </c>
      <c r="D737" s="145" t="s">
        <v>1455</v>
      </c>
      <c r="E737" s="149">
        <v>40710</v>
      </c>
      <c r="F737" s="146">
        <v>3</v>
      </c>
      <c r="G737" s="146">
        <v>1617</v>
      </c>
      <c r="H737" s="152"/>
    </row>
    <row r="738" spans="1:8" hidden="1" x14ac:dyDescent="0.25">
      <c r="A738" s="145" t="s">
        <v>1443</v>
      </c>
      <c r="B738" s="145" t="s">
        <v>1437</v>
      </c>
      <c r="C738" s="145" t="s">
        <v>1436</v>
      </c>
      <c r="D738" s="145" t="s">
        <v>1455</v>
      </c>
      <c r="E738" s="149">
        <v>40406</v>
      </c>
      <c r="F738" s="146">
        <v>3</v>
      </c>
      <c r="G738" s="146">
        <v>3030</v>
      </c>
      <c r="H738" s="152"/>
    </row>
    <row r="739" spans="1:8" hidden="1" x14ac:dyDescent="0.25">
      <c r="A739" s="145" t="s">
        <v>1448</v>
      </c>
      <c r="B739" s="145" t="s">
        <v>1437</v>
      </c>
      <c r="C739" s="145" t="s">
        <v>1445</v>
      </c>
      <c r="D739" s="145" t="s">
        <v>1453</v>
      </c>
      <c r="E739" s="149">
        <v>40270</v>
      </c>
      <c r="F739" s="146">
        <v>3</v>
      </c>
      <c r="G739" s="146">
        <v>1356</v>
      </c>
      <c r="H739" s="152"/>
    </row>
    <row r="740" spans="1:8" hidden="1" x14ac:dyDescent="0.25">
      <c r="A740" s="145" t="s">
        <v>1443</v>
      </c>
      <c r="B740" s="145" t="s">
        <v>1437</v>
      </c>
      <c r="C740" s="145" t="s">
        <v>1439</v>
      </c>
      <c r="D740" s="145" t="s">
        <v>1453</v>
      </c>
      <c r="E740" s="149">
        <v>40322</v>
      </c>
      <c r="F740" s="146">
        <v>3</v>
      </c>
      <c r="G740" s="146">
        <v>4812</v>
      </c>
      <c r="H740" s="152"/>
    </row>
    <row r="741" spans="1:8" hidden="1" x14ac:dyDescent="0.25">
      <c r="A741" s="145" t="s">
        <v>1442</v>
      </c>
      <c r="B741" s="145" t="s">
        <v>1437</v>
      </c>
      <c r="C741" s="145" t="s">
        <v>1439</v>
      </c>
      <c r="D741" s="145" t="s">
        <v>1452</v>
      </c>
      <c r="E741" s="149">
        <v>40464</v>
      </c>
      <c r="F741" s="146">
        <v>3</v>
      </c>
      <c r="G741" s="146">
        <v>3372</v>
      </c>
      <c r="H741" s="152"/>
    </row>
    <row r="742" spans="1:8" hidden="1" x14ac:dyDescent="0.25">
      <c r="A742" s="145" t="s">
        <v>1440</v>
      </c>
      <c r="B742" s="145" t="s">
        <v>1437</v>
      </c>
      <c r="C742" s="145" t="s">
        <v>1441</v>
      </c>
      <c r="D742" s="145" t="s">
        <v>1450</v>
      </c>
      <c r="E742" s="149">
        <v>40739</v>
      </c>
      <c r="F742" s="146">
        <v>3</v>
      </c>
      <c r="G742" s="146">
        <v>4104</v>
      </c>
      <c r="H742" s="152"/>
    </row>
    <row r="743" spans="1:8" hidden="1" x14ac:dyDescent="0.25">
      <c r="A743" s="145" t="s">
        <v>1448</v>
      </c>
      <c r="B743" s="145" t="s">
        <v>1437</v>
      </c>
      <c r="C743" s="145" t="s">
        <v>1439</v>
      </c>
      <c r="D743" s="145" t="s">
        <v>1450</v>
      </c>
      <c r="E743" s="149">
        <v>40862</v>
      </c>
      <c r="F743" s="146">
        <v>3</v>
      </c>
      <c r="G743" s="146">
        <v>5571</v>
      </c>
      <c r="H743" s="152"/>
    </row>
    <row r="744" spans="1:8" hidden="1" x14ac:dyDescent="0.25">
      <c r="A744" s="145" t="s">
        <v>1438</v>
      </c>
      <c r="B744" s="145" t="s">
        <v>1437</v>
      </c>
      <c r="C744" s="145" t="s">
        <v>1436</v>
      </c>
      <c r="D744" s="145" t="s">
        <v>1450</v>
      </c>
      <c r="E744" s="149">
        <v>40498</v>
      </c>
      <c r="F744" s="146">
        <v>3</v>
      </c>
      <c r="G744" s="146">
        <v>3615</v>
      </c>
      <c r="H744" s="152"/>
    </row>
    <row r="745" spans="1:8" hidden="1" x14ac:dyDescent="0.25">
      <c r="A745" s="145" t="s">
        <v>1447</v>
      </c>
      <c r="B745" s="145" t="s">
        <v>1437</v>
      </c>
      <c r="C745" s="145" t="s">
        <v>1445</v>
      </c>
      <c r="D745" s="145" t="s">
        <v>1455</v>
      </c>
      <c r="E745" s="149">
        <v>40218</v>
      </c>
      <c r="F745" s="146">
        <v>4</v>
      </c>
      <c r="G745" s="150">
        <v>3148</v>
      </c>
      <c r="H745" s="152"/>
    </row>
    <row r="746" spans="1:8" hidden="1" x14ac:dyDescent="0.25">
      <c r="A746" s="145" t="s">
        <v>1438</v>
      </c>
      <c r="B746" s="145" t="s">
        <v>1437</v>
      </c>
      <c r="C746" s="145" t="s">
        <v>1441</v>
      </c>
      <c r="D746" s="145" t="s">
        <v>1455</v>
      </c>
      <c r="E746" s="149">
        <v>40474</v>
      </c>
      <c r="F746" s="146">
        <v>4</v>
      </c>
      <c r="G746" s="146">
        <v>6728</v>
      </c>
      <c r="H746" s="152"/>
    </row>
    <row r="747" spans="1:8" hidden="1" x14ac:dyDescent="0.25">
      <c r="A747" s="145" t="s">
        <v>1449</v>
      </c>
      <c r="B747" s="145" t="s">
        <v>1437</v>
      </c>
      <c r="C747" s="145" t="s">
        <v>1439</v>
      </c>
      <c r="D747" s="145" t="s">
        <v>1455</v>
      </c>
      <c r="E747" s="149">
        <v>40197</v>
      </c>
      <c r="F747" s="146">
        <v>4</v>
      </c>
      <c r="G747" s="150">
        <v>4532</v>
      </c>
      <c r="H747" s="152"/>
    </row>
    <row r="748" spans="1:8" hidden="1" x14ac:dyDescent="0.25">
      <c r="A748" s="145" t="s">
        <v>1456</v>
      </c>
      <c r="B748" s="145" t="s">
        <v>1437</v>
      </c>
      <c r="C748" s="145" t="s">
        <v>1439</v>
      </c>
      <c r="D748" s="145" t="s">
        <v>1455</v>
      </c>
      <c r="E748" s="149">
        <v>40206</v>
      </c>
      <c r="F748" s="146">
        <v>4</v>
      </c>
      <c r="G748" s="150">
        <v>3388</v>
      </c>
      <c r="H748" s="152"/>
    </row>
    <row r="749" spans="1:8" hidden="1" x14ac:dyDescent="0.25">
      <c r="A749" s="145" t="s">
        <v>1449</v>
      </c>
      <c r="B749" s="145" t="s">
        <v>1437</v>
      </c>
      <c r="C749" s="145" t="s">
        <v>1439</v>
      </c>
      <c r="D749" s="145" t="s">
        <v>1455</v>
      </c>
      <c r="E749" s="149">
        <v>40638</v>
      </c>
      <c r="F749" s="146">
        <v>4</v>
      </c>
      <c r="G749" s="146">
        <v>2420</v>
      </c>
      <c r="H749" s="152"/>
    </row>
    <row r="750" spans="1:8" hidden="1" x14ac:dyDescent="0.25">
      <c r="A750" s="145" t="s">
        <v>1448</v>
      </c>
      <c r="B750" s="145" t="s">
        <v>1437</v>
      </c>
      <c r="C750" s="145" t="s">
        <v>1445</v>
      </c>
      <c r="D750" s="145" t="s">
        <v>1453</v>
      </c>
      <c r="E750" s="149">
        <v>40626</v>
      </c>
      <c r="F750" s="146">
        <v>4</v>
      </c>
      <c r="G750" s="146">
        <v>5192</v>
      </c>
      <c r="H750" s="152"/>
    </row>
    <row r="751" spans="1:8" hidden="1" x14ac:dyDescent="0.25">
      <c r="A751" s="145" t="s">
        <v>1440</v>
      </c>
      <c r="B751" s="145" t="s">
        <v>1437</v>
      </c>
      <c r="C751" s="145" t="s">
        <v>1441</v>
      </c>
      <c r="D751" s="145" t="s">
        <v>1453</v>
      </c>
      <c r="E751" s="149">
        <v>40290</v>
      </c>
      <c r="F751" s="146">
        <v>4</v>
      </c>
      <c r="G751" s="146">
        <v>6340</v>
      </c>
      <c r="H751" s="152"/>
    </row>
    <row r="752" spans="1:8" hidden="1" x14ac:dyDescent="0.25">
      <c r="A752" s="145" t="s">
        <v>1451</v>
      </c>
      <c r="B752" s="145" t="s">
        <v>1437</v>
      </c>
      <c r="C752" s="145" t="s">
        <v>1439</v>
      </c>
      <c r="D752" s="145" t="s">
        <v>1453</v>
      </c>
      <c r="E752" s="149">
        <v>40393</v>
      </c>
      <c r="F752" s="146">
        <v>4</v>
      </c>
      <c r="G752" s="146">
        <v>4672</v>
      </c>
      <c r="H752" s="152"/>
    </row>
    <row r="753" spans="1:8" hidden="1" x14ac:dyDescent="0.25">
      <c r="A753" s="145" t="s">
        <v>1449</v>
      </c>
      <c r="B753" s="145" t="s">
        <v>1437</v>
      </c>
      <c r="C753" s="145" t="s">
        <v>1445</v>
      </c>
      <c r="D753" s="145" t="s">
        <v>1452</v>
      </c>
      <c r="E753" s="149">
        <v>40189</v>
      </c>
      <c r="F753" s="146">
        <v>4</v>
      </c>
      <c r="G753" s="150">
        <v>1816</v>
      </c>
      <c r="H753" s="152"/>
    </row>
    <row r="754" spans="1:8" hidden="1" x14ac:dyDescent="0.25">
      <c r="A754" s="145" t="s">
        <v>1449</v>
      </c>
      <c r="B754" s="145" t="s">
        <v>1437</v>
      </c>
      <c r="C754" s="145" t="s">
        <v>1445</v>
      </c>
      <c r="D754" s="145" t="s">
        <v>1452</v>
      </c>
      <c r="E754" s="149">
        <v>40280</v>
      </c>
      <c r="F754" s="146">
        <v>4</v>
      </c>
      <c r="G754" s="146">
        <v>3640</v>
      </c>
      <c r="H754" s="152"/>
    </row>
    <row r="755" spans="1:8" hidden="1" x14ac:dyDescent="0.25">
      <c r="A755" s="145" t="s">
        <v>1442</v>
      </c>
      <c r="B755" s="145" t="s">
        <v>1437</v>
      </c>
      <c r="C755" s="145" t="s">
        <v>1445</v>
      </c>
      <c r="D755" s="145" t="s">
        <v>1452</v>
      </c>
      <c r="E755" s="149">
        <v>40662</v>
      </c>
      <c r="F755" s="146">
        <v>4</v>
      </c>
      <c r="G755" s="146">
        <v>5520</v>
      </c>
      <c r="H755" s="152"/>
    </row>
    <row r="756" spans="1:8" hidden="1" x14ac:dyDescent="0.25">
      <c r="A756" s="145" t="s">
        <v>1443</v>
      </c>
      <c r="B756" s="145" t="s">
        <v>1437</v>
      </c>
      <c r="C756" s="145" t="s">
        <v>1439</v>
      </c>
      <c r="D756" s="145" t="s">
        <v>1452</v>
      </c>
      <c r="E756" s="149">
        <v>40617</v>
      </c>
      <c r="F756" s="146">
        <v>4</v>
      </c>
      <c r="G756" s="146">
        <v>2728</v>
      </c>
      <c r="H756" s="152"/>
    </row>
    <row r="757" spans="1:8" hidden="1" x14ac:dyDescent="0.25">
      <c r="A757" s="145" t="s">
        <v>1443</v>
      </c>
      <c r="B757" s="145" t="s">
        <v>1437</v>
      </c>
      <c r="C757" s="145" t="s">
        <v>1445</v>
      </c>
      <c r="D757" s="145" t="s">
        <v>1455</v>
      </c>
      <c r="E757" s="149">
        <v>40432</v>
      </c>
      <c r="F757" s="146">
        <v>5</v>
      </c>
      <c r="G757" s="146">
        <v>7945</v>
      </c>
      <c r="H757" s="152"/>
    </row>
    <row r="758" spans="1:8" hidden="1" x14ac:dyDescent="0.25">
      <c r="A758" s="145" t="s">
        <v>1448</v>
      </c>
      <c r="B758" s="145" t="s">
        <v>1437</v>
      </c>
      <c r="C758" s="145" t="s">
        <v>1445</v>
      </c>
      <c r="D758" s="145" t="s">
        <v>1455</v>
      </c>
      <c r="E758" s="149">
        <v>40781</v>
      </c>
      <c r="F758" s="146">
        <v>5</v>
      </c>
      <c r="G758" s="146">
        <v>6735</v>
      </c>
      <c r="H758" s="152"/>
    </row>
    <row r="759" spans="1:8" hidden="1" x14ac:dyDescent="0.25">
      <c r="A759" s="145" t="s">
        <v>1449</v>
      </c>
      <c r="B759" s="145" t="s">
        <v>1437</v>
      </c>
      <c r="C759" s="145" t="s">
        <v>1441</v>
      </c>
      <c r="D759" s="145" t="s">
        <v>1455</v>
      </c>
      <c r="E759" s="149">
        <v>40248</v>
      </c>
      <c r="F759" s="146">
        <v>5</v>
      </c>
      <c r="G759" s="150">
        <v>8155</v>
      </c>
      <c r="H759" s="152"/>
    </row>
    <row r="760" spans="1:8" hidden="1" x14ac:dyDescent="0.25">
      <c r="A760" s="145" t="s">
        <v>1451</v>
      </c>
      <c r="B760" s="145" t="s">
        <v>1437</v>
      </c>
      <c r="C760" s="145" t="s">
        <v>1445</v>
      </c>
      <c r="D760" s="145" t="s">
        <v>1452</v>
      </c>
      <c r="E760" s="149">
        <v>40413</v>
      </c>
      <c r="F760" s="146">
        <v>5</v>
      </c>
      <c r="G760" s="146">
        <v>3005</v>
      </c>
      <c r="H760" s="152"/>
    </row>
    <row r="761" spans="1:8" hidden="1" x14ac:dyDescent="0.25">
      <c r="A761" s="145" t="s">
        <v>1448</v>
      </c>
      <c r="B761" s="145" t="s">
        <v>1437</v>
      </c>
      <c r="C761" s="145" t="s">
        <v>1445</v>
      </c>
      <c r="D761" s="145" t="s">
        <v>1452</v>
      </c>
      <c r="E761" s="149">
        <v>40761</v>
      </c>
      <c r="F761" s="146">
        <v>5</v>
      </c>
      <c r="G761" s="146">
        <v>7640</v>
      </c>
      <c r="H761" s="152"/>
    </row>
    <row r="762" spans="1:8" hidden="1" x14ac:dyDescent="0.25">
      <c r="A762" s="145" t="s">
        <v>1446</v>
      </c>
      <c r="B762" s="145" t="s">
        <v>1437</v>
      </c>
      <c r="C762" s="145" t="s">
        <v>1439</v>
      </c>
      <c r="D762" s="145" t="s">
        <v>1452</v>
      </c>
      <c r="E762" s="149">
        <v>40739</v>
      </c>
      <c r="F762" s="146">
        <v>5</v>
      </c>
      <c r="G762" s="146">
        <v>4230</v>
      </c>
      <c r="H762" s="152"/>
    </row>
    <row r="763" spans="1:8" hidden="1" x14ac:dyDescent="0.25">
      <c r="A763" s="145" t="s">
        <v>1447</v>
      </c>
      <c r="B763" s="145" t="s">
        <v>1437</v>
      </c>
      <c r="C763" s="145" t="s">
        <v>1439</v>
      </c>
      <c r="D763" s="145" t="s">
        <v>1452</v>
      </c>
      <c r="E763" s="149">
        <v>40890</v>
      </c>
      <c r="F763" s="146">
        <v>5</v>
      </c>
      <c r="G763" s="146">
        <v>4795</v>
      </c>
      <c r="H763" s="152"/>
    </row>
    <row r="764" spans="1:8" hidden="1" x14ac:dyDescent="0.25">
      <c r="A764" s="145" t="s">
        <v>1440</v>
      </c>
      <c r="B764" s="145" t="s">
        <v>1437</v>
      </c>
      <c r="C764" s="145" t="s">
        <v>1436</v>
      </c>
      <c r="D764" s="145" t="s">
        <v>1452</v>
      </c>
      <c r="E764" s="149">
        <v>40285</v>
      </c>
      <c r="F764" s="146">
        <v>5</v>
      </c>
      <c r="G764" s="146">
        <v>5940</v>
      </c>
      <c r="H764" s="152"/>
    </row>
    <row r="765" spans="1:8" hidden="1" x14ac:dyDescent="0.25">
      <c r="A765" s="145" t="s">
        <v>1449</v>
      </c>
      <c r="B765" s="145" t="s">
        <v>1437</v>
      </c>
      <c r="C765" s="145" t="s">
        <v>1436</v>
      </c>
      <c r="D765" s="145" t="s">
        <v>1452</v>
      </c>
      <c r="E765" s="149">
        <v>40672</v>
      </c>
      <c r="F765" s="146">
        <v>5</v>
      </c>
      <c r="G765" s="146">
        <v>6530</v>
      </c>
      <c r="H765" s="152"/>
    </row>
    <row r="766" spans="1:8" hidden="1" x14ac:dyDescent="0.25">
      <c r="A766" s="145" t="s">
        <v>1448</v>
      </c>
      <c r="B766" s="145" t="s">
        <v>1437</v>
      </c>
      <c r="C766" s="145" t="s">
        <v>1436</v>
      </c>
      <c r="D766" s="145" t="s">
        <v>1452</v>
      </c>
      <c r="E766" s="149">
        <v>40785</v>
      </c>
      <c r="F766" s="146">
        <v>5</v>
      </c>
      <c r="G766" s="146">
        <v>2625</v>
      </c>
      <c r="H766" s="152"/>
    </row>
    <row r="767" spans="1:8" hidden="1" x14ac:dyDescent="0.25">
      <c r="A767" s="145" t="s">
        <v>1447</v>
      </c>
      <c r="B767" s="145" t="s">
        <v>1437</v>
      </c>
      <c r="C767" s="145" t="s">
        <v>1445</v>
      </c>
      <c r="D767" s="145" t="s">
        <v>1455</v>
      </c>
      <c r="E767" s="149">
        <v>40218</v>
      </c>
      <c r="F767" s="146">
        <v>6</v>
      </c>
      <c r="G767" s="150">
        <v>6480</v>
      </c>
      <c r="H767" s="152"/>
    </row>
    <row r="768" spans="1:8" hidden="1" x14ac:dyDescent="0.25">
      <c r="A768" s="145" t="s">
        <v>1447</v>
      </c>
      <c r="B768" s="145" t="s">
        <v>1437</v>
      </c>
      <c r="C768" s="145" t="s">
        <v>1445</v>
      </c>
      <c r="D768" s="145" t="s">
        <v>1455</v>
      </c>
      <c r="E768" s="149">
        <v>40281</v>
      </c>
      <c r="F768" s="146">
        <v>6</v>
      </c>
      <c r="G768" s="146">
        <v>11286</v>
      </c>
      <c r="H768" s="152"/>
    </row>
    <row r="769" spans="1:8" hidden="1" x14ac:dyDescent="0.25">
      <c r="A769" s="145" t="s">
        <v>1448</v>
      </c>
      <c r="B769" s="145" t="s">
        <v>1437</v>
      </c>
      <c r="C769" s="145" t="s">
        <v>1441</v>
      </c>
      <c r="D769" s="145" t="s">
        <v>1455</v>
      </c>
      <c r="E769" s="149">
        <v>40593</v>
      </c>
      <c r="F769" s="146">
        <v>6</v>
      </c>
      <c r="G769" s="146">
        <v>2736</v>
      </c>
      <c r="H769" s="152"/>
    </row>
    <row r="770" spans="1:8" hidden="1" x14ac:dyDescent="0.25">
      <c r="A770" s="145" t="s">
        <v>1454</v>
      </c>
      <c r="B770" s="145" t="s">
        <v>1437</v>
      </c>
      <c r="C770" s="145" t="s">
        <v>1439</v>
      </c>
      <c r="D770" s="145" t="s">
        <v>1455</v>
      </c>
      <c r="E770" s="149">
        <v>40837</v>
      </c>
      <c r="F770" s="146">
        <v>6</v>
      </c>
      <c r="G770" s="146">
        <v>6192</v>
      </c>
      <c r="H770" s="152"/>
    </row>
    <row r="771" spans="1:8" hidden="1" x14ac:dyDescent="0.25">
      <c r="A771" s="145" t="s">
        <v>1446</v>
      </c>
      <c r="B771" s="145" t="s">
        <v>1437</v>
      </c>
      <c r="C771" s="145" t="s">
        <v>1436</v>
      </c>
      <c r="D771" s="145" t="s">
        <v>1455</v>
      </c>
      <c r="E771" s="149">
        <v>40633</v>
      </c>
      <c r="F771" s="146">
        <v>6</v>
      </c>
      <c r="G771" s="146">
        <v>7836</v>
      </c>
      <c r="H771" s="152"/>
    </row>
    <row r="772" spans="1:8" hidden="1" x14ac:dyDescent="0.25">
      <c r="A772" s="145" t="s">
        <v>1438</v>
      </c>
      <c r="B772" s="145" t="s">
        <v>1437</v>
      </c>
      <c r="C772" s="145" t="s">
        <v>1439</v>
      </c>
      <c r="D772" s="145" t="s">
        <v>1435</v>
      </c>
      <c r="E772" s="149">
        <v>40408</v>
      </c>
      <c r="F772" s="146">
        <v>6</v>
      </c>
      <c r="G772" s="146">
        <v>11640</v>
      </c>
      <c r="H772" s="152"/>
    </row>
    <row r="773" spans="1:8" hidden="1" x14ac:dyDescent="0.25">
      <c r="A773" s="145" t="s">
        <v>1438</v>
      </c>
      <c r="B773" s="145" t="s">
        <v>1437</v>
      </c>
      <c r="C773" s="145" t="s">
        <v>1439</v>
      </c>
      <c r="D773" s="145" t="s">
        <v>1435</v>
      </c>
      <c r="E773" s="149">
        <v>40451</v>
      </c>
      <c r="F773" s="146">
        <v>6</v>
      </c>
      <c r="G773" s="146">
        <v>7320</v>
      </c>
      <c r="H773" s="152"/>
    </row>
    <row r="774" spans="1:8" hidden="1" x14ac:dyDescent="0.25">
      <c r="A774" s="145" t="s">
        <v>1447</v>
      </c>
      <c r="B774" s="145" t="s">
        <v>1437</v>
      </c>
      <c r="C774" s="145" t="s">
        <v>1445</v>
      </c>
      <c r="D774" s="145" t="s">
        <v>1453</v>
      </c>
      <c r="E774" s="149">
        <v>40539</v>
      </c>
      <c r="F774" s="146">
        <v>6</v>
      </c>
      <c r="G774" s="146">
        <v>9846</v>
      </c>
      <c r="H774" s="152"/>
    </row>
    <row r="775" spans="1:8" hidden="1" x14ac:dyDescent="0.25">
      <c r="A775" s="145" t="s">
        <v>1440</v>
      </c>
      <c r="B775" s="145" t="s">
        <v>1437</v>
      </c>
      <c r="C775" s="145" t="s">
        <v>1441</v>
      </c>
      <c r="D775" s="145" t="s">
        <v>1453</v>
      </c>
      <c r="E775" s="149">
        <v>40352</v>
      </c>
      <c r="F775" s="146">
        <v>6</v>
      </c>
      <c r="G775" s="146">
        <v>8262</v>
      </c>
      <c r="H775" s="152"/>
    </row>
    <row r="776" spans="1:8" hidden="1" x14ac:dyDescent="0.25">
      <c r="A776" s="145" t="s">
        <v>1442</v>
      </c>
      <c r="B776" s="145" t="s">
        <v>1437</v>
      </c>
      <c r="C776" s="145" t="s">
        <v>1436</v>
      </c>
      <c r="D776" s="145" t="s">
        <v>1453</v>
      </c>
      <c r="E776" s="149">
        <v>40640</v>
      </c>
      <c r="F776" s="146">
        <v>6</v>
      </c>
      <c r="G776" s="146">
        <v>10890</v>
      </c>
      <c r="H776" s="152"/>
    </row>
    <row r="777" spans="1:8" hidden="1" x14ac:dyDescent="0.25">
      <c r="A777" s="145" t="s">
        <v>1446</v>
      </c>
      <c r="B777" s="145" t="s">
        <v>1437</v>
      </c>
      <c r="C777" s="145" t="s">
        <v>1436</v>
      </c>
      <c r="D777" s="145" t="s">
        <v>1453</v>
      </c>
      <c r="E777" s="149">
        <v>40806</v>
      </c>
      <c r="F777" s="146">
        <v>6</v>
      </c>
      <c r="G777" s="146">
        <v>5322</v>
      </c>
      <c r="H777" s="152"/>
    </row>
    <row r="778" spans="1:8" hidden="1" x14ac:dyDescent="0.25">
      <c r="A778" s="145" t="s">
        <v>1451</v>
      </c>
      <c r="B778" s="145" t="s">
        <v>1437</v>
      </c>
      <c r="C778" s="145" t="s">
        <v>1445</v>
      </c>
      <c r="D778" s="145" t="s">
        <v>1452</v>
      </c>
      <c r="E778" s="149">
        <v>40186</v>
      </c>
      <c r="F778" s="146">
        <v>6</v>
      </c>
      <c r="G778" s="150">
        <v>4692</v>
      </c>
      <c r="H778" s="152"/>
    </row>
    <row r="779" spans="1:8" hidden="1" x14ac:dyDescent="0.25">
      <c r="A779" s="145" t="s">
        <v>1449</v>
      </c>
      <c r="B779" s="145" t="s">
        <v>1437</v>
      </c>
      <c r="C779" s="145" t="s">
        <v>1441</v>
      </c>
      <c r="D779" s="145" t="s">
        <v>1452</v>
      </c>
      <c r="E779" s="149">
        <v>40640</v>
      </c>
      <c r="F779" s="146">
        <v>6</v>
      </c>
      <c r="G779" s="146">
        <v>4044</v>
      </c>
      <c r="H779" s="152"/>
    </row>
    <row r="780" spans="1:8" hidden="1" x14ac:dyDescent="0.25">
      <c r="A780" s="145" t="s">
        <v>1448</v>
      </c>
      <c r="B780" s="145" t="s">
        <v>1437</v>
      </c>
      <c r="C780" s="145" t="s">
        <v>1445</v>
      </c>
      <c r="D780" s="145" t="s">
        <v>1450</v>
      </c>
      <c r="E780" s="149">
        <v>40274</v>
      </c>
      <c r="F780" s="146">
        <v>6</v>
      </c>
      <c r="G780" s="146">
        <v>4878</v>
      </c>
      <c r="H780" s="152"/>
    </row>
    <row r="781" spans="1:8" hidden="1" x14ac:dyDescent="0.25">
      <c r="A781" s="145" t="s">
        <v>1444</v>
      </c>
      <c r="B781" s="145" t="s">
        <v>1437</v>
      </c>
      <c r="C781" s="145" t="s">
        <v>1441</v>
      </c>
      <c r="D781" s="145" t="s">
        <v>1450</v>
      </c>
      <c r="E781" s="149">
        <v>40456</v>
      </c>
      <c r="F781" s="146">
        <v>6</v>
      </c>
      <c r="G781" s="146">
        <v>4296</v>
      </c>
      <c r="H781" s="152"/>
    </row>
    <row r="782" spans="1:8" hidden="1" x14ac:dyDescent="0.25">
      <c r="A782" s="145" t="s">
        <v>1447</v>
      </c>
      <c r="B782" s="145" t="s">
        <v>1437</v>
      </c>
      <c r="C782" s="145" t="s">
        <v>1439</v>
      </c>
      <c r="D782" s="145" t="s">
        <v>1450</v>
      </c>
      <c r="E782" s="149">
        <v>40261</v>
      </c>
      <c r="F782" s="146">
        <v>6</v>
      </c>
      <c r="G782" s="146">
        <v>5616</v>
      </c>
      <c r="H782" s="152"/>
    </row>
    <row r="783" spans="1:8" hidden="1" x14ac:dyDescent="0.25">
      <c r="A783" s="145" t="s">
        <v>1443</v>
      </c>
      <c r="B783" s="145" t="s">
        <v>1437</v>
      </c>
      <c r="C783" s="145" t="s">
        <v>1439</v>
      </c>
      <c r="D783" s="145" t="s">
        <v>1450</v>
      </c>
      <c r="E783" s="149">
        <v>40806</v>
      </c>
      <c r="F783" s="146">
        <v>6</v>
      </c>
      <c r="G783" s="146">
        <v>10428</v>
      </c>
      <c r="H783" s="152"/>
    </row>
    <row r="784" spans="1:8" hidden="1" x14ac:dyDescent="0.25">
      <c r="A784" s="145" t="s">
        <v>1449</v>
      </c>
      <c r="B784" s="145" t="s">
        <v>1437</v>
      </c>
      <c r="C784" s="145" t="s">
        <v>1445</v>
      </c>
      <c r="D784" s="145" t="s">
        <v>1455</v>
      </c>
      <c r="E784" s="149">
        <v>40700</v>
      </c>
      <c r="F784" s="146">
        <v>7</v>
      </c>
      <c r="G784" s="146">
        <v>12033</v>
      </c>
      <c r="H784" s="152"/>
    </row>
    <row r="785" spans="1:8" hidden="1" x14ac:dyDescent="0.25">
      <c r="A785" s="145" t="s">
        <v>1442</v>
      </c>
      <c r="B785" s="145" t="s">
        <v>1437</v>
      </c>
      <c r="C785" s="145" t="s">
        <v>1445</v>
      </c>
      <c r="D785" s="145" t="s">
        <v>1455</v>
      </c>
      <c r="E785" s="149">
        <v>40883</v>
      </c>
      <c r="F785" s="146">
        <v>7</v>
      </c>
      <c r="G785" s="146">
        <v>10493</v>
      </c>
      <c r="H785" s="152"/>
    </row>
    <row r="786" spans="1:8" hidden="1" x14ac:dyDescent="0.25">
      <c r="A786" s="145" t="s">
        <v>1446</v>
      </c>
      <c r="B786" s="145" t="s">
        <v>1437</v>
      </c>
      <c r="C786" s="145" t="s">
        <v>1441</v>
      </c>
      <c r="D786" s="145" t="s">
        <v>1455</v>
      </c>
      <c r="E786" s="149">
        <v>40642</v>
      </c>
      <c r="F786" s="146">
        <v>7</v>
      </c>
      <c r="G786" s="146">
        <v>5327</v>
      </c>
      <c r="H786" s="152"/>
    </row>
    <row r="787" spans="1:8" hidden="1" x14ac:dyDescent="0.25">
      <c r="A787" s="145" t="s">
        <v>1440</v>
      </c>
      <c r="B787" s="145" t="s">
        <v>1437</v>
      </c>
      <c r="C787" s="145" t="s">
        <v>1439</v>
      </c>
      <c r="D787" s="145" t="s">
        <v>1455</v>
      </c>
      <c r="E787" s="149">
        <v>40470</v>
      </c>
      <c r="F787" s="146">
        <v>7</v>
      </c>
      <c r="G787" s="146">
        <v>12467</v>
      </c>
      <c r="H787" s="152"/>
    </row>
    <row r="788" spans="1:8" hidden="1" x14ac:dyDescent="0.25">
      <c r="A788" s="145" t="s">
        <v>1438</v>
      </c>
      <c r="B788" s="145" t="s">
        <v>1437</v>
      </c>
      <c r="C788" s="145" t="s">
        <v>1436</v>
      </c>
      <c r="D788" s="145" t="s">
        <v>1455</v>
      </c>
      <c r="E788" s="149">
        <v>40590</v>
      </c>
      <c r="F788" s="146">
        <v>7</v>
      </c>
      <c r="G788" s="146">
        <v>4473</v>
      </c>
      <c r="H788" s="152"/>
    </row>
    <row r="789" spans="1:8" hidden="1" x14ac:dyDescent="0.25">
      <c r="A789" s="145" t="s">
        <v>1444</v>
      </c>
      <c r="B789" s="145" t="s">
        <v>1437</v>
      </c>
      <c r="C789" s="145" t="s">
        <v>1445</v>
      </c>
      <c r="D789" s="145" t="s">
        <v>1435</v>
      </c>
      <c r="E789" s="149">
        <v>40393</v>
      </c>
      <c r="F789" s="146">
        <v>7</v>
      </c>
      <c r="G789" s="146">
        <v>12467</v>
      </c>
      <c r="H789" s="152"/>
    </row>
    <row r="790" spans="1:8" hidden="1" x14ac:dyDescent="0.25">
      <c r="A790" s="145" t="s">
        <v>1448</v>
      </c>
      <c r="B790" s="145" t="s">
        <v>1437</v>
      </c>
      <c r="C790" s="145" t="s">
        <v>1441</v>
      </c>
      <c r="D790" s="145" t="s">
        <v>1435</v>
      </c>
      <c r="E790" s="149">
        <v>40203</v>
      </c>
      <c r="F790" s="146">
        <v>7</v>
      </c>
      <c r="G790" s="146">
        <v>8694</v>
      </c>
      <c r="H790" s="152"/>
    </row>
    <row r="791" spans="1:8" hidden="1" x14ac:dyDescent="0.25">
      <c r="A791" s="145" t="s">
        <v>1448</v>
      </c>
      <c r="B791" s="145" t="s">
        <v>1437</v>
      </c>
      <c r="C791" s="145" t="s">
        <v>1439</v>
      </c>
      <c r="D791" s="145" t="s">
        <v>1435</v>
      </c>
      <c r="E791" s="149">
        <v>40683</v>
      </c>
      <c r="F791" s="146">
        <v>7</v>
      </c>
      <c r="G791" s="146">
        <v>6062</v>
      </c>
      <c r="H791" s="152"/>
    </row>
    <row r="792" spans="1:8" hidden="1" x14ac:dyDescent="0.25">
      <c r="A792" s="145" t="s">
        <v>1444</v>
      </c>
      <c r="B792" s="145" t="s">
        <v>1437</v>
      </c>
      <c r="C792" s="145" t="s">
        <v>1436</v>
      </c>
      <c r="D792" s="145" t="s">
        <v>1435</v>
      </c>
      <c r="E792" s="149">
        <v>40427</v>
      </c>
      <c r="F792" s="146">
        <v>7</v>
      </c>
      <c r="G792" s="146">
        <v>10164</v>
      </c>
      <c r="H792" s="152"/>
    </row>
    <row r="793" spans="1:8" hidden="1" x14ac:dyDescent="0.25">
      <c r="A793" s="145" t="s">
        <v>1444</v>
      </c>
      <c r="B793" s="145" t="s">
        <v>1437</v>
      </c>
      <c r="C793" s="145" t="s">
        <v>1445</v>
      </c>
      <c r="D793" s="145" t="s">
        <v>1452</v>
      </c>
      <c r="E793" s="149">
        <v>40499</v>
      </c>
      <c r="F793" s="146">
        <v>7</v>
      </c>
      <c r="G793" s="146">
        <v>8288</v>
      </c>
      <c r="H793" s="152"/>
    </row>
    <row r="794" spans="1:8" hidden="1" x14ac:dyDescent="0.25">
      <c r="A794" s="145" t="s">
        <v>1449</v>
      </c>
      <c r="B794" s="145" t="s">
        <v>1437</v>
      </c>
      <c r="C794" s="145" t="s">
        <v>1445</v>
      </c>
      <c r="D794" s="145" t="s">
        <v>1450</v>
      </c>
      <c r="E794" s="149">
        <v>40290</v>
      </c>
      <c r="F794" s="146">
        <v>7</v>
      </c>
      <c r="G794" s="146">
        <v>6307</v>
      </c>
      <c r="H794" s="152"/>
    </row>
    <row r="795" spans="1:8" hidden="1" x14ac:dyDescent="0.25">
      <c r="A795" s="145" t="s">
        <v>1440</v>
      </c>
      <c r="B795" s="145" t="s">
        <v>1437</v>
      </c>
      <c r="C795" s="145" t="s">
        <v>1445</v>
      </c>
      <c r="D795" s="145" t="s">
        <v>1450</v>
      </c>
      <c r="E795" s="149">
        <v>40380</v>
      </c>
      <c r="F795" s="146">
        <v>7</v>
      </c>
      <c r="G795" s="146">
        <v>13265</v>
      </c>
      <c r="H795" s="152"/>
    </row>
    <row r="796" spans="1:8" hidden="1" x14ac:dyDescent="0.25">
      <c r="A796" s="145" t="s">
        <v>1447</v>
      </c>
      <c r="B796" s="145" t="s">
        <v>1437</v>
      </c>
      <c r="C796" s="145" t="s">
        <v>1439</v>
      </c>
      <c r="D796" s="145" t="s">
        <v>1455</v>
      </c>
      <c r="E796" s="149">
        <v>40432</v>
      </c>
      <c r="F796" s="146">
        <v>8</v>
      </c>
      <c r="G796" s="146">
        <v>9648</v>
      </c>
      <c r="H796" s="152"/>
    </row>
    <row r="797" spans="1:8" hidden="1" x14ac:dyDescent="0.25">
      <c r="A797" s="145" t="s">
        <v>1443</v>
      </c>
      <c r="B797" s="145" t="s">
        <v>1437</v>
      </c>
      <c r="C797" s="145" t="s">
        <v>1439</v>
      </c>
      <c r="D797" s="145" t="s">
        <v>1455</v>
      </c>
      <c r="E797" s="149">
        <v>40806</v>
      </c>
      <c r="F797" s="146">
        <v>8</v>
      </c>
      <c r="G797" s="146">
        <v>3800</v>
      </c>
      <c r="H797" s="152"/>
    </row>
    <row r="798" spans="1:8" hidden="1" x14ac:dyDescent="0.25">
      <c r="A798" s="145" t="s">
        <v>1444</v>
      </c>
      <c r="B798" s="145" t="s">
        <v>1437</v>
      </c>
      <c r="C798" s="145" t="s">
        <v>1441</v>
      </c>
      <c r="D798" s="145" t="s">
        <v>1435</v>
      </c>
      <c r="E798" s="149">
        <v>40204</v>
      </c>
      <c r="F798" s="146">
        <v>8</v>
      </c>
      <c r="G798" s="146">
        <v>8128</v>
      </c>
      <c r="H798" s="152"/>
    </row>
    <row r="799" spans="1:8" hidden="1" x14ac:dyDescent="0.25">
      <c r="A799" s="145" t="s">
        <v>1449</v>
      </c>
      <c r="B799" s="145" t="s">
        <v>1437</v>
      </c>
      <c r="C799" s="145" t="s">
        <v>1441</v>
      </c>
      <c r="D799" s="145" t="s">
        <v>1435</v>
      </c>
      <c r="E799" s="149">
        <v>40504</v>
      </c>
      <c r="F799" s="146">
        <v>8</v>
      </c>
      <c r="G799" s="146">
        <v>9192</v>
      </c>
      <c r="H799" s="152"/>
    </row>
    <row r="800" spans="1:8" hidden="1" x14ac:dyDescent="0.25">
      <c r="A800" s="145" t="s">
        <v>1440</v>
      </c>
      <c r="B800" s="145" t="s">
        <v>1437</v>
      </c>
      <c r="C800" s="145" t="s">
        <v>1445</v>
      </c>
      <c r="D800" s="145" t="s">
        <v>1453</v>
      </c>
      <c r="E800" s="149">
        <v>40537</v>
      </c>
      <c r="F800" s="146">
        <v>8</v>
      </c>
      <c r="G800" s="146">
        <v>9776</v>
      </c>
      <c r="H800" s="152"/>
    </row>
    <row r="801" spans="1:8" hidden="1" x14ac:dyDescent="0.25">
      <c r="A801" s="145" t="s">
        <v>1443</v>
      </c>
      <c r="B801" s="145" t="s">
        <v>1437</v>
      </c>
      <c r="C801" s="145" t="s">
        <v>1441</v>
      </c>
      <c r="D801" s="145" t="s">
        <v>1453</v>
      </c>
      <c r="E801" s="149">
        <v>40670</v>
      </c>
      <c r="F801" s="146">
        <v>8</v>
      </c>
      <c r="G801" s="146">
        <v>8024</v>
      </c>
      <c r="H801" s="152"/>
    </row>
    <row r="802" spans="1:8" hidden="1" x14ac:dyDescent="0.25">
      <c r="A802" s="145" t="s">
        <v>1454</v>
      </c>
      <c r="B802" s="145" t="s">
        <v>1437</v>
      </c>
      <c r="C802" s="145" t="s">
        <v>1439</v>
      </c>
      <c r="D802" s="145" t="s">
        <v>1453</v>
      </c>
      <c r="E802" s="149">
        <v>40413</v>
      </c>
      <c r="F802" s="146">
        <v>8</v>
      </c>
      <c r="G802" s="146">
        <v>9960</v>
      </c>
      <c r="H802" s="152"/>
    </row>
    <row r="803" spans="1:8" hidden="1" x14ac:dyDescent="0.25">
      <c r="A803" s="145" t="s">
        <v>1449</v>
      </c>
      <c r="B803" s="145" t="s">
        <v>1437</v>
      </c>
      <c r="C803" s="145" t="s">
        <v>1439</v>
      </c>
      <c r="D803" s="145" t="s">
        <v>1453</v>
      </c>
      <c r="E803" s="149">
        <v>40569</v>
      </c>
      <c r="F803" s="146">
        <v>8</v>
      </c>
      <c r="G803" s="146">
        <v>15216</v>
      </c>
      <c r="H803" s="152"/>
    </row>
    <row r="804" spans="1:8" hidden="1" x14ac:dyDescent="0.25">
      <c r="A804" s="145" t="s">
        <v>1451</v>
      </c>
      <c r="B804" s="145" t="s">
        <v>1437</v>
      </c>
      <c r="C804" s="145" t="s">
        <v>1436</v>
      </c>
      <c r="D804" s="145" t="s">
        <v>1453</v>
      </c>
      <c r="E804" s="149">
        <v>40768</v>
      </c>
      <c r="F804" s="146">
        <v>8</v>
      </c>
      <c r="G804" s="146">
        <v>6264</v>
      </c>
      <c r="H804" s="152"/>
    </row>
    <row r="805" spans="1:8" hidden="1" x14ac:dyDescent="0.25">
      <c r="A805" s="145" t="s">
        <v>1448</v>
      </c>
      <c r="B805" s="145" t="s">
        <v>1437</v>
      </c>
      <c r="C805" s="145" t="s">
        <v>1445</v>
      </c>
      <c r="D805" s="145" t="s">
        <v>1452</v>
      </c>
      <c r="E805" s="149">
        <v>40849</v>
      </c>
      <c r="F805" s="146">
        <v>8</v>
      </c>
      <c r="G805" s="146">
        <v>7200</v>
      </c>
      <c r="H805" s="152"/>
    </row>
    <row r="806" spans="1:8" hidden="1" x14ac:dyDescent="0.25">
      <c r="A806" s="145" t="s">
        <v>1438</v>
      </c>
      <c r="B806" s="145" t="s">
        <v>1437</v>
      </c>
      <c r="C806" s="145" t="s">
        <v>1441</v>
      </c>
      <c r="D806" s="145" t="s">
        <v>1452</v>
      </c>
      <c r="E806" s="149">
        <v>40199</v>
      </c>
      <c r="F806" s="146">
        <v>8</v>
      </c>
      <c r="G806" s="150">
        <v>8192</v>
      </c>
      <c r="H806" s="152"/>
    </row>
    <row r="807" spans="1:8" hidden="1" x14ac:dyDescent="0.25">
      <c r="A807" s="145" t="s">
        <v>1454</v>
      </c>
      <c r="B807" s="145" t="s">
        <v>1437</v>
      </c>
      <c r="C807" s="145" t="s">
        <v>1436</v>
      </c>
      <c r="D807" s="145" t="s">
        <v>1452</v>
      </c>
      <c r="E807" s="149">
        <v>40473</v>
      </c>
      <c r="F807" s="146">
        <v>8</v>
      </c>
      <c r="G807" s="146">
        <v>11520</v>
      </c>
      <c r="H807" s="152"/>
    </row>
    <row r="808" spans="1:8" hidden="1" x14ac:dyDescent="0.25">
      <c r="A808" s="145" t="s">
        <v>1438</v>
      </c>
      <c r="B808" s="145" t="s">
        <v>1437</v>
      </c>
      <c r="C808" s="145" t="s">
        <v>1436</v>
      </c>
      <c r="D808" s="145" t="s">
        <v>1452</v>
      </c>
      <c r="E808" s="149">
        <v>40868</v>
      </c>
      <c r="F808" s="146">
        <v>8</v>
      </c>
      <c r="G808" s="146">
        <v>12936</v>
      </c>
      <c r="H808" s="152"/>
    </row>
    <row r="809" spans="1:8" hidden="1" x14ac:dyDescent="0.25">
      <c r="A809" s="145" t="s">
        <v>1449</v>
      </c>
      <c r="B809" s="145" t="s">
        <v>1437</v>
      </c>
      <c r="C809" s="145" t="s">
        <v>1439</v>
      </c>
      <c r="D809" s="145" t="s">
        <v>1450</v>
      </c>
      <c r="E809" s="149">
        <v>40501</v>
      </c>
      <c r="F809" s="146">
        <v>8</v>
      </c>
      <c r="G809" s="146">
        <v>10176</v>
      </c>
      <c r="H809" s="152"/>
    </row>
    <row r="810" spans="1:8" hidden="1" x14ac:dyDescent="0.25">
      <c r="A810" s="145" t="s">
        <v>1446</v>
      </c>
      <c r="B810" s="145" t="s">
        <v>1437</v>
      </c>
      <c r="C810" s="145" t="s">
        <v>1439</v>
      </c>
      <c r="D810" s="145" t="s">
        <v>1450</v>
      </c>
      <c r="E810" s="149">
        <v>40617</v>
      </c>
      <c r="F810" s="146">
        <v>8</v>
      </c>
      <c r="G810" s="146">
        <v>14984</v>
      </c>
      <c r="H810" s="152"/>
    </row>
    <row r="811" spans="1:8" hidden="1" x14ac:dyDescent="0.25">
      <c r="A811" s="145" t="s">
        <v>1451</v>
      </c>
      <c r="B811" s="145" t="s">
        <v>1437</v>
      </c>
      <c r="C811" s="145" t="s">
        <v>1439</v>
      </c>
      <c r="D811" s="145" t="s">
        <v>1450</v>
      </c>
      <c r="E811" s="149">
        <v>40792</v>
      </c>
      <c r="F811" s="146">
        <v>8</v>
      </c>
      <c r="G811" s="146">
        <v>13952</v>
      </c>
      <c r="H811" s="152"/>
    </row>
    <row r="812" spans="1:8" hidden="1" x14ac:dyDescent="0.25">
      <c r="A812" s="145" t="s">
        <v>1440</v>
      </c>
      <c r="B812" s="145" t="s">
        <v>1437</v>
      </c>
      <c r="C812" s="145" t="s">
        <v>1439</v>
      </c>
      <c r="D812" s="145" t="s">
        <v>1455</v>
      </c>
      <c r="E812" s="149">
        <v>40768</v>
      </c>
      <c r="F812" s="146">
        <v>9</v>
      </c>
      <c r="G812" s="146">
        <v>12627</v>
      </c>
      <c r="H812" s="152"/>
    </row>
    <row r="813" spans="1:8" hidden="1" x14ac:dyDescent="0.25">
      <c r="A813" s="145" t="s">
        <v>1456</v>
      </c>
      <c r="B813" s="145" t="s">
        <v>1437</v>
      </c>
      <c r="C813" s="145" t="s">
        <v>1439</v>
      </c>
      <c r="D813" s="145" t="s">
        <v>1455</v>
      </c>
      <c r="E813" s="149">
        <v>40876</v>
      </c>
      <c r="F813" s="146">
        <v>9</v>
      </c>
      <c r="G813" s="146">
        <v>10260</v>
      </c>
      <c r="H813" s="152"/>
    </row>
    <row r="814" spans="1:8" hidden="1" x14ac:dyDescent="0.25">
      <c r="A814" s="145" t="s">
        <v>1448</v>
      </c>
      <c r="B814" s="145" t="s">
        <v>1437</v>
      </c>
      <c r="C814" s="145" t="s">
        <v>1441</v>
      </c>
      <c r="D814" s="145" t="s">
        <v>1435</v>
      </c>
      <c r="E814" s="149">
        <v>40722</v>
      </c>
      <c r="F814" s="146">
        <v>9</v>
      </c>
      <c r="G814" s="146">
        <v>4869</v>
      </c>
      <c r="H814" s="152"/>
    </row>
    <row r="815" spans="1:8" hidden="1" x14ac:dyDescent="0.25">
      <c r="A815" s="145" t="s">
        <v>1454</v>
      </c>
      <c r="B815" s="145" t="s">
        <v>1437</v>
      </c>
      <c r="C815" s="145" t="s">
        <v>1445</v>
      </c>
      <c r="D815" s="145" t="s">
        <v>1453</v>
      </c>
      <c r="E815" s="149">
        <v>40435</v>
      </c>
      <c r="F815" s="146">
        <v>9</v>
      </c>
      <c r="G815" s="146">
        <v>6300</v>
      </c>
      <c r="H815" s="152"/>
    </row>
    <row r="816" spans="1:8" hidden="1" x14ac:dyDescent="0.25">
      <c r="A816" s="145" t="s">
        <v>1449</v>
      </c>
      <c r="B816" s="145" t="s">
        <v>1437</v>
      </c>
      <c r="C816" s="145" t="s">
        <v>1445</v>
      </c>
      <c r="D816" s="145" t="s">
        <v>1453</v>
      </c>
      <c r="E816" s="149">
        <v>40507</v>
      </c>
      <c r="F816" s="146">
        <v>9</v>
      </c>
      <c r="G816" s="146">
        <v>17010</v>
      </c>
      <c r="H816" s="152"/>
    </row>
    <row r="817" spans="1:8" hidden="1" x14ac:dyDescent="0.25">
      <c r="A817" s="145" t="s">
        <v>1446</v>
      </c>
      <c r="B817" s="145" t="s">
        <v>1437</v>
      </c>
      <c r="C817" s="145" t="s">
        <v>1445</v>
      </c>
      <c r="D817" s="145" t="s">
        <v>1452</v>
      </c>
      <c r="E817" s="149">
        <v>40815</v>
      </c>
      <c r="F817" s="146">
        <v>9</v>
      </c>
      <c r="G817" s="146">
        <v>12690</v>
      </c>
      <c r="H817" s="152"/>
    </row>
    <row r="818" spans="1:8" hidden="1" x14ac:dyDescent="0.25">
      <c r="A818" s="145" t="s">
        <v>1451</v>
      </c>
      <c r="B818" s="145" t="s">
        <v>1437</v>
      </c>
      <c r="C818" s="145" t="s">
        <v>1436</v>
      </c>
      <c r="D818" s="145" t="s">
        <v>1452</v>
      </c>
      <c r="E818" s="149">
        <v>40537</v>
      </c>
      <c r="F818" s="146">
        <v>9</v>
      </c>
      <c r="G818" s="146">
        <v>17784</v>
      </c>
      <c r="H818" s="152"/>
    </row>
    <row r="819" spans="1:8" hidden="1" x14ac:dyDescent="0.25">
      <c r="A819" s="145" t="s">
        <v>1438</v>
      </c>
      <c r="B819" s="145" t="s">
        <v>1437</v>
      </c>
      <c r="C819" s="145" t="s">
        <v>1436</v>
      </c>
      <c r="D819" s="145" t="s">
        <v>1450</v>
      </c>
      <c r="E819" s="149">
        <v>40690</v>
      </c>
      <c r="F819" s="146">
        <v>9</v>
      </c>
      <c r="G819" s="146">
        <v>4293</v>
      </c>
      <c r="H819" s="152"/>
    </row>
    <row r="820" spans="1:8" hidden="1" x14ac:dyDescent="0.25">
      <c r="A820" s="145" t="s">
        <v>1443</v>
      </c>
      <c r="B820" s="145" t="s">
        <v>1437</v>
      </c>
      <c r="C820" s="145" t="s">
        <v>1436</v>
      </c>
      <c r="D820" s="145" t="s">
        <v>1450</v>
      </c>
      <c r="E820" s="149">
        <v>40703</v>
      </c>
      <c r="F820" s="146">
        <v>9</v>
      </c>
      <c r="G820" s="146">
        <v>15624</v>
      </c>
      <c r="H820" s="152"/>
    </row>
    <row r="821" spans="1:8" hidden="1" x14ac:dyDescent="0.25">
      <c r="A821" s="145" t="s">
        <v>1451</v>
      </c>
      <c r="B821" s="145" t="s">
        <v>1437</v>
      </c>
      <c r="C821" s="145" t="s">
        <v>1439</v>
      </c>
      <c r="D821" s="145" t="s">
        <v>1455</v>
      </c>
      <c r="E821" s="149">
        <v>40858</v>
      </c>
      <c r="F821" s="146">
        <v>10</v>
      </c>
      <c r="G821" s="146">
        <v>14160</v>
      </c>
      <c r="H821" s="152"/>
    </row>
    <row r="822" spans="1:8" hidden="1" x14ac:dyDescent="0.25">
      <c r="A822" s="145" t="s">
        <v>1443</v>
      </c>
      <c r="B822" s="145" t="s">
        <v>1437</v>
      </c>
      <c r="C822" s="145" t="s">
        <v>1441</v>
      </c>
      <c r="D822" s="145" t="s">
        <v>1453</v>
      </c>
      <c r="E822" s="149">
        <v>40406</v>
      </c>
      <c r="F822" s="146">
        <v>10</v>
      </c>
      <c r="G822" s="146">
        <v>12740</v>
      </c>
      <c r="H822" s="152"/>
    </row>
    <row r="823" spans="1:8" hidden="1" x14ac:dyDescent="0.25">
      <c r="A823" s="145" t="s">
        <v>1443</v>
      </c>
      <c r="B823" s="145" t="s">
        <v>1437</v>
      </c>
      <c r="C823" s="145" t="s">
        <v>1439</v>
      </c>
      <c r="D823" s="145" t="s">
        <v>1453</v>
      </c>
      <c r="E823" s="149">
        <v>40638</v>
      </c>
      <c r="F823" s="146">
        <v>10</v>
      </c>
      <c r="G823" s="146">
        <v>13730</v>
      </c>
      <c r="H823" s="152"/>
    </row>
    <row r="824" spans="1:8" hidden="1" x14ac:dyDescent="0.25">
      <c r="A824" s="145" t="s">
        <v>1451</v>
      </c>
      <c r="B824" s="145" t="s">
        <v>1437</v>
      </c>
      <c r="C824" s="145" t="s">
        <v>1436</v>
      </c>
      <c r="D824" s="145" t="s">
        <v>1453</v>
      </c>
      <c r="E824" s="149">
        <v>40558</v>
      </c>
      <c r="F824" s="146">
        <v>10</v>
      </c>
      <c r="G824" s="146">
        <v>5020</v>
      </c>
      <c r="H824" s="152"/>
    </row>
    <row r="825" spans="1:8" hidden="1" x14ac:dyDescent="0.25">
      <c r="A825" s="145" t="s">
        <v>1443</v>
      </c>
      <c r="B825" s="145" t="s">
        <v>1437</v>
      </c>
      <c r="C825" s="145" t="s">
        <v>1441</v>
      </c>
      <c r="D825" s="145" t="s">
        <v>1452</v>
      </c>
      <c r="E825" s="149">
        <v>40757</v>
      </c>
      <c r="F825" s="146">
        <v>10</v>
      </c>
      <c r="G825" s="146">
        <v>9850</v>
      </c>
      <c r="H825" s="152"/>
    </row>
    <row r="826" spans="1:8" hidden="1" x14ac:dyDescent="0.25">
      <c r="A826" s="145" t="s">
        <v>1448</v>
      </c>
      <c r="B826" s="145" t="s">
        <v>1437</v>
      </c>
      <c r="C826" s="145" t="s">
        <v>1436</v>
      </c>
      <c r="D826" s="145" t="s">
        <v>1452</v>
      </c>
      <c r="E826" s="149">
        <v>40786</v>
      </c>
      <c r="F826" s="146">
        <v>10</v>
      </c>
      <c r="G826" s="146">
        <v>5980</v>
      </c>
      <c r="H826" s="152"/>
    </row>
    <row r="827" spans="1:8" hidden="1" x14ac:dyDescent="0.25">
      <c r="A827" s="145" t="s">
        <v>1449</v>
      </c>
      <c r="B827" s="145" t="s">
        <v>1437</v>
      </c>
      <c r="C827" s="145" t="s">
        <v>1441</v>
      </c>
      <c r="D827" s="145" t="s">
        <v>1450</v>
      </c>
      <c r="E827" s="149">
        <v>40869</v>
      </c>
      <c r="F827" s="146">
        <v>10</v>
      </c>
      <c r="G827" s="146">
        <v>7400</v>
      </c>
      <c r="H827" s="152"/>
    </row>
    <row r="828" spans="1:8" hidden="1" x14ac:dyDescent="0.25">
      <c r="A828" s="145" t="s">
        <v>1449</v>
      </c>
      <c r="B828" s="145" t="s">
        <v>1437</v>
      </c>
      <c r="C828" s="145" t="s">
        <v>1439</v>
      </c>
      <c r="D828" s="145" t="s">
        <v>1450</v>
      </c>
      <c r="E828" s="149">
        <v>40430</v>
      </c>
      <c r="F828" s="146">
        <v>10</v>
      </c>
      <c r="G828" s="146">
        <v>6650</v>
      </c>
      <c r="H828" s="152"/>
    </row>
    <row r="829" spans="1:8" hidden="1" x14ac:dyDescent="0.25">
      <c r="A829" s="145" t="s">
        <v>1449</v>
      </c>
      <c r="B829" s="145" t="s">
        <v>1437</v>
      </c>
      <c r="C829" s="145" t="s">
        <v>1439</v>
      </c>
      <c r="D829" s="145" t="s">
        <v>1450</v>
      </c>
      <c r="E829" s="149">
        <v>40807</v>
      </c>
      <c r="F829" s="146">
        <v>10</v>
      </c>
      <c r="G829" s="146">
        <v>6410</v>
      </c>
      <c r="H829" s="152"/>
    </row>
    <row r="830" spans="1:8" hidden="1" x14ac:dyDescent="0.25">
      <c r="A830" s="145" t="s">
        <v>1443</v>
      </c>
      <c r="B830" s="145" t="s">
        <v>1437</v>
      </c>
      <c r="C830" s="145" t="s">
        <v>1445</v>
      </c>
      <c r="D830" s="145" t="s">
        <v>1455</v>
      </c>
      <c r="E830" s="149">
        <v>40549</v>
      </c>
      <c r="F830" s="146">
        <v>11</v>
      </c>
      <c r="G830" s="146">
        <v>16522</v>
      </c>
      <c r="H830" s="152"/>
    </row>
    <row r="831" spans="1:8" hidden="1" x14ac:dyDescent="0.25">
      <c r="A831" s="145" t="s">
        <v>1447</v>
      </c>
      <c r="B831" s="145" t="s">
        <v>1437</v>
      </c>
      <c r="C831" s="145" t="s">
        <v>1441</v>
      </c>
      <c r="D831" s="145" t="s">
        <v>1435</v>
      </c>
      <c r="E831" s="149">
        <v>40421</v>
      </c>
      <c r="F831" s="146">
        <v>11</v>
      </c>
      <c r="G831" s="146">
        <v>17589</v>
      </c>
      <c r="H831" s="152"/>
    </row>
    <row r="832" spans="1:8" hidden="1" x14ac:dyDescent="0.25">
      <c r="A832" s="145" t="s">
        <v>1444</v>
      </c>
      <c r="B832" s="145" t="s">
        <v>1437</v>
      </c>
      <c r="C832" s="145" t="s">
        <v>1439</v>
      </c>
      <c r="D832" s="145" t="s">
        <v>1435</v>
      </c>
      <c r="E832" s="149">
        <v>40388</v>
      </c>
      <c r="F832" s="146">
        <v>11</v>
      </c>
      <c r="G832" s="146">
        <v>12144</v>
      </c>
      <c r="H832" s="152"/>
    </row>
    <row r="833" spans="1:8" hidden="1" x14ac:dyDescent="0.25">
      <c r="A833" s="145" t="s">
        <v>1438</v>
      </c>
      <c r="B833" s="145" t="s">
        <v>1437</v>
      </c>
      <c r="C833" s="145" t="s">
        <v>1436</v>
      </c>
      <c r="D833" s="145" t="s">
        <v>1435</v>
      </c>
      <c r="E833" s="149">
        <v>40890</v>
      </c>
      <c r="F833" s="146">
        <v>11</v>
      </c>
      <c r="G833" s="146">
        <v>21373</v>
      </c>
      <c r="H833" s="152"/>
    </row>
    <row r="834" spans="1:8" hidden="1" x14ac:dyDescent="0.25">
      <c r="A834" s="145" t="s">
        <v>1444</v>
      </c>
      <c r="B834" s="145" t="s">
        <v>1437</v>
      </c>
      <c r="C834" s="145" t="s">
        <v>1445</v>
      </c>
      <c r="D834" s="145" t="s">
        <v>1453</v>
      </c>
      <c r="E834" s="149">
        <v>40529</v>
      </c>
      <c r="F834" s="146">
        <v>11</v>
      </c>
      <c r="G834" s="146">
        <v>20724</v>
      </c>
      <c r="H834" s="152"/>
    </row>
    <row r="835" spans="1:8" hidden="1" x14ac:dyDescent="0.25">
      <c r="A835" s="145" t="s">
        <v>1440</v>
      </c>
      <c r="B835" s="145" t="s">
        <v>1437</v>
      </c>
      <c r="C835" s="145" t="s">
        <v>1441</v>
      </c>
      <c r="D835" s="145" t="s">
        <v>1453</v>
      </c>
      <c r="E835" s="149">
        <v>40613</v>
      </c>
      <c r="F835" s="146">
        <v>11</v>
      </c>
      <c r="G835" s="146">
        <v>5192</v>
      </c>
      <c r="H835" s="152"/>
    </row>
    <row r="836" spans="1:8" hidden="1" x14ac:dyDescent="0.25">
      <c r="A836" s="145" t="s">
        <v>1438</v>
      </c>
      <c r="B836" s="145" t="s">
        <v>1437</v>
      </c>
      <c r="C836" s="145" t="s">
        <v>1439</v>
      </c>
      <c r="D836" s="145" t="s">
        <v>1453</v>
      </c>
      <c r="E836" s="149">
        <v>40295</v>
      </c>
      <c r="F836" s="146">
        <v>11</v>
      </c>
      <c r="G836" s="146">
        <v>17237</v>
      </c>
      <c r="H836" s="152"/>
    </row>
    <row r="837" spans="1:8" hidden="1" x14ac:dyDescent="0.25">
      <c r="A837" s="145" t="s">
        <v>1456</v>
      </c>
      <c r="B837" s="145" t="s">
        <v>1437</v>
      </c>
      <c r="C837" s="145" t="s">
        <v>1439</v>
      </c>
      <c r="D837" s="145" t="s">
        <v>1453</v>
      </c>
      <c r="E837" s="149">
        <v>40885</v>
      </c>
      <c r="F837" s="146">
        <v>11</v>
      </c>
      <c r="G837" s="146">
        <v>13453</v>
      </c>
      <c r="H837" s="152"/>
    </row>
    <row r="838" spans="1:8" hidden="1" x14ac:dyDescent="0.25">
      <c r="A838" s="145" t="s">
        <v>1448</v>
      </c>
      <c r="B838" s="145" t="s">
        <v>1437</v>
      </c>
      <c r="C838" s="145" t="s">
        <v>1436</v>
      </c>
      <c r="D838" s="145" t="s">
        <v>1453</v>
      </c>
      <c r="E838" s="149">
        <v>40564</v>
      </c>
      <c r="F838" s="146">
        <v>11</v>
      </c>
      <c r="G838" s="146">
        <v>17270</v>
      </c>
      <c r="H838" s="152"/>
    </row>
    <row r="839" spans="1:8" hidden="1" x14ac:dyDescent="0.25">
      <c r="A839" s="145" t="s">
        <v>1443</v>
      </c>
      <c r="B839" s="145" t="s">
        <v>1437</v>
      </c>
      <c r="C839" s="145" t="s">
        <v>1445</v>
      </c>
      <c r="D839" s="145" t="s">
        <v>1452</v>
      </c>
      <c r="E839" s="149">
        <v>40274</v>
      </c>
      <c r="F839" s="146">
        <v>11</v>
      </c>
      <c r="G839" s="146">
        <v>17193</v>
      </c>
      <c r="H839" s="152"/>
    </row>
    <row r="840" spans="1:8" hidden="1" x14ac:dyDescent="0.25">
      <c r="A840" s="145" t="s">
        <v>1440</v>
      </c>
      <c r="B840" s="145" t="s">
        <v>1437</v>
      </c>
      <c r="C840" s="145" t="s">
        <v>1445</v>
      </c>
      <c r="D840" s="145" t="s">
        <v>1452</v>
      </c>
      <c r="E840" s="149">
        <v>40600</v>
      </c>
      <c r="F840" s="146">
        <v>11</v>
      </c>
      <c r="G840" s="146">
        <v>11484</v>
      </c>
      <c r="H840" s="152"/>
    </row>
    <row r="841" spans="1:8" hidden="1" x14ac:dyDescent="0.25">
      <c r="A841" s="145" t="s">
        <v>1449</v>
      </c>
      <c r="B841" s="145" t="s">
        <v>1437</v>
      </c>
      <c r="C841" s="145" t="s">
        <v>1436</v>
      </c>
      <c r="D841" s="145" t="s">
        <v>1452</v>
      </c>
      <c r="E841" s="149">
        <v>40600</v>
      </c>
      <c r="F841" s="146">
        <v>11</v>
      </c>
      <c r="G841" s="146">
        <v>9515</v>
      </c>
      <c r="H841" s="152"/>
    </row>
    <row r="842" spans="1:8" hidden="1" x14ac:dyDescent="0.25">
      <c r="A842" s="145" t="s">
        <v>1446</v>
      </c>
      <c r="B842" s="145" t="s">
        <v>1437</v>
      </c>
      <c r="C842" s="145" t="s">
        <v>1436</v>
      </c>
      <c r="D842" s="145" t="s">
        <v>1452</v>
      </c>
      <c r="E842" s="149">
        <v>40704</v>
      </c>
      <c r="F842" s="146">
        <v>11</v>
      </c>
      <c r="G842" s="146">
        <v>21604</v>
      </c>
      <c r="H842" s="152"/>
    </row>
    <row r="843" spans="1:8" hidden="1" x14ac:dyDescent="0.25">
      <c r="A843" s="145" t="s">
        <v>1442</v>
      </c>
      <c r="B843" s="145" t="s">
        <v>1437</v>
      </c>
      <c r="C843" s="145" t="s">
        <v>1445</v>
      </c>
      <c r="D843" s="145" t="s">
        <v>1450</v>
      </c>
      <c r="E843" s="149">
        <v>40550</v>
      </c>
      <c r="F843" s="146">
        <v>11</v>
      </c>
      <c r="G843" s="146">
        <v>6017</v>
      </c>
      <c r="H843" s="152"/>
    </row>
    <row r="844" spans="1:8" hidden="1" x14ac:dyDescent="0.25">
      <c r="A844" s="145" t="s">
        <v>1447</v>
      </c>
      <c r="B844" s="145" t="s">
        <v>1437</v>
      </c>
      <c r="C844" s="145" t="s">
        <v>1439</v>
      </c>
      <c r="D844" s="145" t="s">
        <v>1450</v>
      </c>
      <c r="E844" s="149">
        <v>40848</v>
      </c>
      <c r="F844" s="146">
        <v>11</v>
      </c>
      <c r="G844" s="146">
        <v>14421</v>
      </c>
      <c r="H844" s="152"/>
    </row>
    <row r="845" spans="1:8" hidden="1" x14ac:dyDescent="0.25">
      <c r="A845" s="145" t="s">
        <v>1454</v>
      </c>
      <c r="B845" s="145" t="s">
        <v>1437</v>
      </c>
      <c r="C845" s="145" t="s">
        <v>1445</v>
      </c>
      <c r="D845" s="145" t="s">
        <v>1455</v>
      </c>
      <c r="E845" s="149">
        <v>40539</v>
      </c>
      <c r="F845" s="146">
        <v>12</v>
      </c>
      <c r="G845" s="146">
        <v>22080</v>
      </c>
      <c r="H845" s="152"/>
    </row>
    <row r="846" spans="1:8" hidden="1" x14ac:dyDescent="0.25">
      <c r="A846" s="145" t="s">
        <v>1456</v>
      </c>
      <c r="B846" s="145" t="s">
        <v>1437</v>
      </c>
      <c r="C846" s="145" t="s">
        <v>1436</v>
      </c>
      <c r="D846" s="145" t="s">
        <v>1455</v>
      </c>
      <c r="E846" s="149">
        <v>40880</v>
      </c>
      <c r="F846" s="146">
        <v>12</v>
      </c>
      <c r="G846" s="146">
        <v>13836</v>
      </c>
      <c r="H846" s="152"/>
    </row>
    <row r="847" spans="1:8" hidden="1" x14ac:dyDescent="0.25">
      <c r="A847" s="145" t="s">
        <v>1443</v>
      </c>
      <c r="B847" s="145" t="s">
        <v>1437</v>
      </c>
      <c r="C847" s="145" t="s">
        <v>1445</v>
      </c>
      <c r="D847" s="145" t="s">
        <v>1435</v>
      </c>
      <c r="E847" s="149">
        <v>40387</v>
      </c>
      <c r="F847" s="146">
        <v>12</v>
      </c>
      <c r="G847" s="146">
        <v>18876</v>
      </c>
      <c r="H847" s="152"/>
    </row>
    <row r="848" spans="1:8" hidden="1" x14ac:dyDescent="0.25">
      <c r="A848" s="145" t="s">
        <v>1442</v>
      </c>
      <c r="B848" s="145" t="s">
        <v>1437</v>
      </c>
      <c r="C848" s="145" t="s">
        <v>1441</v>
      </c>
      <c r="D848" s="145" t="s">
        <v>1435</v>
      </c>
      <c r="E848" s="149">
        <v>40820</v>
      </c>
      <c r="F848" s="146">
        <v>12</v>
      </c>
      <c r="G848" s="146">
        <v>21060</v>
      </c>
      <c r="H848" s="152"/>
    </row>
    <row r="849" spans="1:8" hidden="1" x14ac:dyDescent="0.25">
      <c r="A849" s="145" t="s">
        <v>1451</v>
      </c>
      <c r="B849" s="145" t="s">
        <v>1437</v>
      </c>
      <c r="C849" s="145" t="s">
        <v>1439</v>
      </c>
      <c r="D849" s="145" t="s">
        <v>1435</v>
      </c>
      <c r="E849" s="149">
        <v>40542</v>
      </c>
      <c r="F849" s="146">
        <v>12</v>
      </c>
      <c r="G849" s="146">
        <v>11508</v>
      </c>
      <c r="H849" s="152"/>
    </row>
    <row r="850" spans="1:8" hidden="1" x14ac:dyDescent="0.25">
      <c r="A850" s="145" t="s">
        <v>1449</v>
      </c>
      <c r="B850" s="145" t="s">
        <v>1437</v>
      </c>
      <c r="C850" s="145" t="s">
        <v>1441</v>
      </c>
      <c r="D850" s="145" t="s">
        <v>1453</v>
      </c>
      <c r="E850" s="149">
        <v>40645</v>
      </c>
      <c r="F850" s="146">
        <v>12</v>
      </c>
      <c r="G850" s="146">
        <v>19584</v>
      </c>
      <c r="H850" s="152"/>
    </row>
    <row r="851" spans="1:8" hidden="1" x14ac:dyDescent="0.25">
      <c r="A851" s="145" t="s">
        <v>1454</v>
      </c>
      <c r="B851" s="145" t="s">
        <v>1437</v>
      </c>
      <c r="C851" s="145" t="s">
        <v>1436</v>
      </c>
      <c r="D851" s="145" t="s">
        <v>1453</v>
      </c>
      <c r="E851" s="149">
        <v>40898</v>
      </c>
      <c r="F851" s="146">
        <v>12</v>
      </c>
      <c r="G851" s="146">
        <v>9084</v>
      </c>
      <c r="H851" s="152"/>
    </row>
    <row r="852" spans="1:8" hidden="1" x14ac:dyDescent="0.25">
      <c r="A852" s="145" t="s">
        <v>1449</v>
      </c>
      <c r="B852" s="145" t="s">
        <v>1437</v>
      </c>
      <c r="C852" s="145" t="s">
        <v>1441</v>
      </c>
      <c r="D852" s="145" t="s">
        <v>1452</v>
      </c>
      <c r="E852" s="149">
        <v>40508</v>
      </c>
      <c r="F852" s="146">
        <v>12</v>
      </c>
      <c r="G852" s="146">
        <v>6780</v>
      </c>
      <c r="H852" s="152"/>
    </row>
    <row r="853" spans="1:8" hidden="1" x14ac:dyDescent="0.25">
      <c r="A853" s="145" t="s">
        <v>1456</v>
      </c>
      <c r="B853" s="145" t="s">
        <v>1437</v>
      </c>
      <c r="C853" s="145" t="s">
        <v>1439</v>
      </c>
      <c r="D853" s="145" t="s">
        <v>1452</v>
      </c>
      <c r="E853" s="149">
        <v>40610</v>
      </c>
      <c r="F853" s="146">
        <v>12</v>
      </c>
      <c r="G853" s="146">
        <v>15996</v>
      </c>
      <c r="H853" s="152"/>
    </row>
    <row r="854" spans="1:8" hidden="1" x14ac:dyDescent="0.25">
      <c r="A854" s="145" t="s">
        <v>1451</v>
      </c>
      <c r="B854" s="145" t="s">
        <v>1437</v>
      </c>
      <c r="C854" s="145" t="s">
        <v>1436</v>
      </c>
      <c r="D854" s="145" t="s">
        <v>1452</v>
      </c>
      <c r="E854" s="149">
        <v>40896</v>
      </c>
      <c r="F854" s="146">
        <v>12</v>
      </c>
      <c r="G854" s="146">
        <v>16584</v>
      </c>
      <c r="H854" s="152"/>
    </row>
    <row r="855" spans="1:8" hidden="1" x14ac:dyDescent="0.25">
      <c r="A855" s="145" t="s">
        <v>1443</v>
      </c>
      <c r="B855" s="145" t="s">
        <v>1437</v>
      </c>
      <c r="C855" s="145" t="s">
        <v>1441</v>
      </c>
      <c r="D855" s="145" t="s">
        <v>1450</v>
      </c>
      <c r="E855" s="149">
        <v>40602</v>
      </c>
      <c r="F855" s="146">
        <v>12</v>
      </c>
      <c r="G855" s="146">
        <v>18720</v>
      </c>
      <c r="H855" s="152"/>
    </row>
    <row r="856" spans="1:8" hidden="1" x14ac:dyDescent="0.25">
      <c r="A856" s="145" t="s">
        <v>1448</v>
      </c>
      <c r="B856" s="145" t="s">
        <v>1437</v>
      </c>
      <c r="C856" s="145" t="s">
        <v>1441</v>
      </c>
      <c r="D856" s="145" t="s">
        <v>1455</v>
      </c>
      <c r="E856" s="149">
        <v>40812</v>
      </c>
      <c r="F856" s="146">
        <v>13</v>
      </c>
      <c r="G856" s="146">
        <v>10192</v>
      </c>
      <c r="H856" s="152"/>
    </row>
    <row r="857" spans="1:8" hidden="1" x14ac:dyDescent="0.25">
      <c r="A857" s="145" t="s">
        <v>1447</v>
      </c>
      <c r="B857" s="145" t="s">
        <v>1437</v>
      </c>
      <c r="C857" s="145" t="s">
        <v>1436</v>
      </c>
      <c r="D857" s="145" t="s">
        <v>1455</v>
      </c>
      <c r="E857" s="149">
        <v>40764</v>
      </c>
      <c r="F857" s="146">
        <v>13</v>
      </c>
      <c r="G857" s="146">
        <v>16341</v>
      </c>
      <c r="H857" s="152"/>
    </row>
    <row r="858" spans="1:8" hidden="1" x14ac:dyDescent="0.25">
      <c r="A858" s="145" t="s">
        <v>1447</v>
      </c>
      <c r="B858" s="145" t="s">
        <v>1437</v>
      </c>
      <c r="C858" s="145" t="s">
        <v>1445</v>
      </c>
      <c r="D858" s="145" t="s">
        <v>1435</v>
      </c>
      <c r="E858" s="149">
        <v>40526</v>
      </c>
      <c r="F858" s="146">
        <v>13</v>
      </c>
      <c r="G858" s="146">
        <v>6864</v>
      </c>
      <c r="H858" s="152"/>
    </row>
    <row r="859" spans="1:8" hidden="1" x14ac:dyDescent="0.25">
      <c r="A859" s="145" t="s">
        <v>1449</v>
      </c>
      <c r="B859" s="145" t="s">
        <v>1437</v>
      </c>
      <c r="C859" s="145" t="s">
        <v>1445</v>
      </c>
      <c r="D859" s="145" t="s">
        <v>1435</v>
      </c>
      <c r="E859" s="149">
        <v>40889</v>
      </c>
      <c r="F859" s="146">
        <v>13</v>
      </c>
      <c r="G859" s="146">
        <v>25727</v>
      </c>
      <c r="H859" s="152"/>
    </row>
    <row r="860" spans="1:8" hidden="1" x14ac:dyDescent="0.25">
      <c r="A860" s="145" t="s">
        <v>1451</v>
      </c>
      <c r="B860" s="145" t="s">
        <v>1437</v>
      </c>
      <c r="C860" s="145" t="s">
        <v>1441</v>
      </c>
      <c r="D860" s="145" t="s">
        <v>1435</v>
      </c>
      <c r="E860" s="149">
        <v>40189</v>
      </c>
      <c r="F860" s="146">
        <v>13</v>
      </c>
      <c r="G860" s="146">
        <v>11102</v>
      </c>
      <c r="H860" s="152"/>
    </row>
    <row r="861" spans="1:8" hidden="1" x14ac:dyDescent="0.25">
      <c r="A861" s="145" t="s">
        <v>1456</v>
      </c>
      <c r="B861" s="145" t="s">
        <v>1437</v>
      </c>
      <c r="C861" s="145" t="s">
        <v>1439</v>
      </c>
      <c r="D861" s="145" t="s">
        <v>1435</v>
      </c>
      <c r="E861" s="149">
        <v>40463</v>
      </c>
      <c r="F861" s="146">
        <v>13</v>
      </c>
      <c r="G861" s="146">
        <v>19825</v>
      </c>
      <c r="H861" s="152"/>
    </row>
    <row r="862" spans="1:8" hidden="1" x14ac:dyDescent="0.25">
      <c r="A862" s="145" t="s">
        <v>1448</v>
      </c>
      <c r="B862" s="145" t="s">
        <v>1437</v>
      </c>
      <c r="C862" s="145" t="s">
        <v>1439</v>
      </c>
      <c r="D862" s="145" t="s">
        <v>1435</v>
      </c>
      <c r="E862" s="149">
        <v>40512</v>
      </c>
      <c r="F862" s="146">
        <v>13</v>
      </c>
      <c r="G862" s="146">
        <v>19448</v>
      </c>
      <c r="H862" s="152"/>
    </row>
    <row r="863" spans="1:8" hidden="1" x14ac:dyDescent="0.25">
      <c r="A863" s="145" t="s">
        <v>1454</v>
      </c>
      <c r="B863" s="145" t="s">
        <v>1437</v>
      </c>
      <c r="C863" s="145" t="s">
        <v>1439</v>
      </c>
      <c r="D863" s="145" t="s">
        <v>1435</v>
      </c>
      <c r="E863" s="149">
        <v>40879</v>
      </c>
      <c r="F863" s="146">
        <v>13</v>
      </c>
      <c r="G863" s="146">
        <v>5278</v>
      </c>
      <c r="H863" s="152"/>
    </row>
    <row r="864" spans="1:8" hidden="1" x14ac:dyDescent="0.25">
      <c r="A864" s="145" t="s">
        <v>1454</v>
      </c>
      <c r="B864" s="145" t="s">
        <v>1437</v>
      </c>
      <c r="C864" s="145" t="s">
        <v>1445</v>
      </c>
      <c r="D864" s="145" t="s">
        <v>1453</v>
      </c>
      <c r="E864" s="149">
        <v>40878</v>
      </c>
      <c r="F864" s="146">
        <v>13</v>
      </c>
      <c r="G864" s="146">
        <v>15717</v>
      </c>
      <c r="H864" s="152"/>
    </row>
    <row r="865" spans="1:8" hidden="1" x14ac:dyDescent="0.25">
      <c r="A865" s="145" t="s">
        <v>1438</v>
      </c>
      <c r="B865" s="145" t="s">
        <v>1437</v>
      </c>
      <c r="C865" s="145" t="s">
        <v>1436</v>
      </c>
      <c r="D865" s="145" t="s">
        <v>1453</v>
      </c>
      <c r="E865" s="149">
        <v>40724</v>
      </c>
      <c r="F865" s="146">
        <v>13</v>
      </c>
      <c r="G865" s="146">
        <v>5681</v>
      </c>
      <c r="H865" s="152"/>
    </row>
    <row r="866" spans="1:8" hidden="1" x14ac:dyDescent="0.25">
      <c r="A866" s="145" t="s">
        <v>1449</v>
      </c>
      <c r="B866" s="145" t="s">
        <v>1437</v>
      </c>
      <c r="C866" s="145" t="s">
        <v>1445</v>
      </c>
      <c r="D866" s="145" t="s">
        <v>1452</v>
      </c>
      <c r="E866" s="149">
        <v>40801</v>
      </c>
      <c r="F866" s="146">
        <v>13</v>
      </c>
      <c r="G866" s="146">
        <v>18421</v>
      </c>
      <c r="H866" s="152"/>
    </row>
    <row r="867" spans="1:8" hidden="1" x14ac:dyDescent="0.25">
      <c r="A867" s="145" t="s">
        <v>1440</v>
      </c>
      <c r="B867" s="145" t="s">
        <v>1437</v>
      </c>
      <c r="C867" s="145" t="s">
        <v>1436</v>
      </c>
      <c r="D867" s="145" t="s">
        <v>1452</v>
      </c>
      <c r="E867" s="149">
        <v>40372</v>
      </c>
      <c r="F867" s="146">
        <v>13</v>
      </c>
      <c r="G867" s="146">
        <v>13910</v>
      </c>
      <c r="H867" s="152"/>
    </row>
    <row r="868" spans="1:8" hidden="1" x14ac:dyDescent="0.25">
      <c r="A868" s="145" t="s">
        <v>1442</v>
      </c>
      <c r="B868" s="145" t="s">
        <v>1437</v>
      </c>
      <c r="C868" s="145" t="s">
        <v>1445</v>
      </c>
      <c r="D868" s="145" t="s">
        <v>1450</v>
      </c>
      <c r="E868" s="149">
        <v>40631</v>
      </c>
      <c r="F868" s="146">
        <v>13</v>
      </c>
      <c r="G868" s="146">
        <v>15704</v>
      </c>
      <c r="H868" s="152"/>
    </row>
    <row r="869" spans="1:8" hidden="1" x14ac:dyDescent="0.25">
      <c r="A869" s="145" t="s">
        <v>1444</v>
      </c>
      <c r="B869" s="145" t="s">
        <v>1437</v>
      </c>
      <c r="C869" s="145" t="s">
        <v>1439</v>
      </c>
      <c r="D869" s="145" t="s">
        <v>1450</v>
      </c>
      <c r="E869" s="149">
        <v>40514</v>
      </c>
      <c r="F869" s="146">
        <v>13</v>
      </c>
      <c r="G869" s="146">
        <v>14196</v>
      </c>
      <c r="H869" s="152"/>
    </row>
    <row r="870" spans="1:8" hidden="1" x14ac:dyDescent="0.25">
      <c r="A870" s="145" t="s">
        <v>1454</v>
      </c>
      <c r="B870" s="145" t="s">
        <v>1437</v>
      </c>
      <c r="C870" s="145" t="s">
        <v>1439</v>
      </c>
      <c r="D870" s="145" t="s">
        <v>1450</v>
      </c>
      <c r="E870" s="149">
        <v>40798</v>
      </c>
      <c r="F870" s="146">
        <v>13</v>
      </c>
      <c r="G870" s="146">
        <v>17537</v>
      </c>
      <c r="H870" s="152"/>
    </row>
    <row r="871" spans="1:8" hidden="1" x14ac:dyDescent="0.25">
      <c r="A871" s="145" t="s">
        <v>1447</v>
      </c>
      <c r="B871" s="145" t="s">
        <v>1437</v>
      </c>
      <c r="C871" s="145" t="s">
        <v>1445</v>
      </c>
      <c r="D871" s="145" t="s">
        <v>1455</v>
      </c>
      <c r="E871" s="149">
        <v>40381</v>
      </c>
      <c r="F871" s="146">
        <v>14</v>
      </c>
      <c r="G871" s="146">
        <v>26194</v>
      </c>
      <c r="H871" s="152"/>
    </row>
    <row r="872" spans="1:8" hidden="1" x14ac:dyDescent="0.25">
      <c r="A872" s="145" t="s">
        <v>1451</v>
      </c>
      <c r="B872" s="145" t="s">
        <v>1437</v>
      </c>
      <c r="C872" s="145" t="s">
        <v>1445</v>
      </c>
      <c r="D872" s="145" t="s">
        <v>1455</v>
      </c>
      <c r="E872" s="149">
        <v>40396</v>
      </c>
      <c r="F872" s="146">
        <v>14</v>
      </c>
      <c r="G872" s="146">
        <v>13244</v>
      </c>
      <c r="H872" s="152"/>
    </row>
    <row r="873" spans="1:8" hidden="1" x14ac:dyDescent="0.25">
      <c r="A873" s="145" t="s">
        <v>1449</v>
      </c>
      <c r="B873" s="145" t="s">
        <v>1437</v>
      </c>
      <c r="C873" s="145" t="s">
        <v>1439</v>
      </c>
      <c r="D873" s="145" t="s">
        <v>1455</v>
      </c>
      <c r="E873" s="149">
        <v>40792</v>
      </c>
      <c r="F873" s="146">
        <v>14</v>
      </c>
      <c r="G873" s="146">
        <v>22386</v>
      </c>
      <c r="H873" s="152"/>
    </row>
    <row r="874" spans="1:8" hidden="1" x14ac:dyDescent="0.25">
      <c r="A874" s="145" t="s">
        <v>1447</v>
      </c>
      <c r="B874" s="145" t="s">
        <v>1437</v>
      </c>
      <c r="C874" s="145" t="s">
        <v>1441</v>
      </c>
      <c r="D874" s="145" t="s">
        <v>1435</v>
      </c>
      <c r="E874" s="149">
        <v>40502</v>
      </c>
      <c r="F874" s="146">
        <v>14</v>
      </c>
      <c r="G874" s="146">
        <v>21560</v>
      </c>
      <c r="H874" s="152"/>
    </row>
    <row r="875" spans="1:8" hidden="1" x14ac:dyDescent="0.25">
      <c r="A875" s="145" t="s">
        <v>1451</v>
      </c>
      <c r="B875" s="145" t="s">
        <v>1437</v>
      </c>
      <c r="C875" s="145" t="s">
        <v>1445</v>
      </c>
      <c r="D875" s="145" t="s">
        <v>1453</v>
      </c>
      <c r="E875" s="149">
        <v>40369</v>
      </c>
      <c r="F875" s="146">
        <v>14</v>
      </c>
      <c r="G875" s="146">
        <v>21434</v>
      </c>
      <c r="H875" s="152"/>
    </row>
    <row r="876" spans="1:8" hidden="1" x14ac:dyDescent="0.25">
      <c r="A876" s="145" t="s">
        <v>1438</v>
      </c>
      <c r="B876" s="145" t="s">
        <v>1437</v>
      </c>
      <c r="C876" s="145" t="s">
        <v>1445</v>
      </c>
      <c r="D876" s="145" t="s">
        <v>1452</v>
      </c>
      <c r="E876" s="149">
        <v>40233</v>
      </c>
      <c r="F876" s="146">
        <v>14</v>
      </c>
      <c r="G876" s="150">
        <v>23814</v>
      </c>
      <c r="H876" s="152"/>
    </row>
    <row r="877" spans="1:8" hidden="1" x14ac:dyDescent="0.25">
      <c r="A877" s="145" t="s">
        <v>1442</v>
      </c>
      <c r="B877" s="145" t="s">
        <v>1437</v>
      </c>
      <c r="C877" s="145" t="s">
        <v>1445</v>
      </c>
      <c r="D877" s="145" t="s">
        <v>1452</v>
      </c>
      <c r="E877" s="149">
        <v>40345</v>
      </c>
      <c r="F877" s="146">
        <v>14</v>
      </c>
      <c r="G877" s="146">
        <v>17192</v>
      </c>
      <c r="H877" s="152"/>
    </row>
    <row r="878" spans="1:8" hidden="1" x14ac:dyDescent="0.25">
      <c r="A878" s="145" t="s">
        <v>1440</v>
      </c>
      <c r="B878" s="145" t="s">
        <v>1437</v>
      </c>
      <c r="C878" s="145" t="s">
        <v>1439</v>
      </c>
      <c r="D878" s="145" t="s">
        <v>1452</v>
      </c>
      <c r="E878" s="149">
        <v>40511</v>
      </c>
      <c r="F878" s="146">
        <v>14</v>
      </c>
      <c r="G878" s="146">
        <v>11676</v>
      </c>
      <c r="H878" s="152"/>
    </row>
    <row r="879" spans="1:8" hidden="1" x14ac:dyDescent="0.25">
      <c r="A879" s="145" t="s">
        <v>1448</v>
      </c>
      <c r="B879" s="145" t="s">
        <v>1437</v>
      </c>
      <c r="C879" s="145" t="s">
        <v>1436</v>
      </c>
      <c r="D879" s="145" t="s">
        <v>1452</v>
      </c>
      <c r="E879" s="149">
        <v>40278</v>
      </c>
      <c r="F879" s="146">
        <v>14</v>
      </c>
      <c r="G879" s="146">
        <v>23394</v>
      </c>
      <c r="H879" s="152"/>
    </row>
    <row r="880" spans="1:8" hidden="1" x14ac:dyDescent="0.25">
      <c r="A880" s="145" t="s">
        <v>1438</v>
      </c>
      <c r="B880" s="145" t="s">
        <v>1437</v>
      </c>
      <c r="C880" s="145" t="s">
        <v>1436</v>
      </c>
      <c r="D880" s="145" t="s">
        <v>1452</v>
      </c>
      <c r="E880" s="149">
        <v>40749</v>
      </c>
      <c r="F880" s="146">
        <v>14</v>
      </c>
      <c r="G880" s="146">
        <v>7560</v>
      </c>
      <c r="H880" s="152"/>
    </row>
    <row r="881" spans="1:8" hidden="1" x14ac:dyDescent="0.25">
      <c r="A881" s="145" t="s">
        <v>1447</v>
      </c>
      <c r="B881" s="145" t="s">
        <v>1437</v>
      </c>
      <c r="C881" s="145" t="s">
        <v>1441</v>
      </c>
      <c r="D881" s="145" t="s">
        <v>1455</v>
      </c>
      <c r="E881" s="149">
        <v>40264</v>
      </c>
      <c r="F881" s="146">
        <v>15</v>
      </c>
      <c r="G881" s="146">
        <v>28650</v>
      </c>
      <c r="H881" s="152"/>
    </row>
    <row r="882" spans="1:8" hidden="1" x14ac:dyDescent="0.25">
      <c r="A882" s="145" t="s">
        <v>1451</v>
      </c>
      <c r="B882" s="145" t="s">
        <v>1437</v>
      </c>
      <c r="C882" s="145" t="s">
        <v>1439</v>
      </c>
      <c r="D882" s="145" t="s">
        <v>1455</v>
      </c>
      <c r="E882" s="149">
        <v>40572</v>
      </c>
      <c r="F882" s="146">
        <v>15</v>
      </c>
      <c r="G882" s="146">
        <v>6240</v>
      </c>
      <c r="H882" s="152"/>
    </row>
    <row r="883" spans="1:8" hidden="1" x14ac:dyDescent="0.25">
      <c r="A883" s="145" t="s">
        <v>1438</v>
      </c>
      <c r="B883" s="145" t="s">
        <v>1437</v>
      </c>
      <c r="C883" s="145" t="s">
        <v>1445</v>
      </c>
      <c r="D883" s="145" t="s">
        <v>1435</v>
      </c>
      <c r="E883" s="149">
        <v>40642</v>
      </c>
      <c r="F883" s="146">
        <v>15</v>
      </c>
      <c r="G883" s="146">
        <v>21165</v>
      </c>
      <c r="H883" s="152"/>
    </row>
    <row r="884" spans="1:8" hidden="1" x14ac:dyDescent="0.25">
      <c r="A884" s="145" t="s">
        <v>1454</v>
      </c>
      <c r="B884" s="145" t="s">
        <v>1437</v>
      </c>
      <c r="C884" s="145" t="s">
        <v>1439</v>
      </c>
      <c r="D884" s="145" t="s">
        <v>1435</v>
      </c>
      <c r="E884" s="149">
        <v>40315</v>
      </c>
      <c r="F884" s="146">
        <v>15</v>
      </c>
      <c r="G884" s="146">
        <v>16830</v>
      </c>
      <c r="H884" s="152"/>
    </row>
    <row r="885" spans="1:8" hidden="1" x14ac:dyDescent="0.25">
      <c r="A885" s="145" t="s">
        <v>1451</v>
      </c>
      <c r="B885" s="145" t="s">
        <v>1437</v>
      </c>
      <c r="C885" s="145" t="s">
        <v>1441</v>
      </c>
      <c r="D885" s="145" t="s">
        <v>1453</v>
      </c>
      <c r="E885" s="149">
        <v>40306</v>
      </c>
      <c r="F885" s="146">
        <v>15</v>
      </c>
      <c r="G885" s="146">
        <v>23430</v>
      </c>
      <c r="H885" s="152"/>
    </row>
    <row r="886" spans="1:8" hidden="1" x14ac:dyDescent="0.25">
      <c r="A886" s="145" t="s">
        <v>1446</v>
      </c>
      <c r="B886" s="145" t="s">
        <v>1437</v>
      </c>
      <c r="C886" s="145" t="s">
        <v>1436</v>
      </c>
      <c r="D886" s="145" t="s">
        <v>1453</v>
      </c>
      <c r="E886" s="149">
        <v>40438</v>
      </c>
      <c r="F886" s="146">
        <v>15</v>
      </c>
      <c r="G886" s="146">
        <v>10890</v>
      </c>
      <c r="H886" s="152"/>
    </row>
    <row r="887" spans="1:8" hidden="1" x14ac:dyDescent="0.25">
      <c r="A887" s="145" t="s">
        <v>1440</v>
      </c>
      <c r="B887" s="145" t="s">
        <v>1437</v>
      </c>
      <c r="C887" s="145" t="s">
        <v>1445</v>
      </c>
      <c r="D887" s="145" t="s">
        <v>1452</v>
      </c>
      <c r="E887" s="149">
        <v>40513</v>
      </c>
      <c r="F887" s="146">
        <v>15</v>
      </c>
      <c r="G887" s="146">
        <v>11235</v>
      </c>
      <c r="H887" s="152"/>
    </row>
    <row r="888" spans="1:8" hidden="1" x14ac:dyDescent="0.25">
      <c r="A888" s="145" t="s">
        <v>1449</v>
      </c>
      <c r="B888" s="145" t="s">
        <v>1437</v>
      </c>
      <c r="C888" s="145" t="s">
        <v>1441</v>
      </c>
      <c r="D888" s="145" t="s">
        <v>1452</v>
      </c>
      <c r="E888" s="149">
        <v>40896</v>
      </c>
      <c r="F888" s="146">
        <v>15</v>
      </c>
      <c r="G888" s="146">
        <v>10590</v>
      </c>
      <c r="H888" s="152"/>
    </row>
    <row r="889" spans="1:8" hidden="1" x14ac:dyDescent="0.25">
      <c r="A889" s="145" t="s">
        <v>1448</v>
      </c>
      <c r="B889" s="145" t="s">
        <v>1437</v>
      </c>
      <c r="C889" s="145" t="s">
        <v>1439</v>
      </c>
      <c r="D889" s="145" t="s">
        <v>1452</v>
      </c>
      <c r="E889" s="149">
        <v>40721</v>
      </c>
      <c r="F889" s="146">
        <v>15</v>
      </c>
      <c r="G889" s="146">
        <v>25515</v>
      </c>
      <c r="H889" s="152"/>
    </row>
    <row r="890" spans="1:8" hidden="1" x14ac:dyDescent="0.25">
      <c r="A890" s="145" t="s">
        <v>1446</v>
      </c>
      <c r="B890" s="145" t="s">
        <v>1437</v>
      </c>
      <c r="C890" s="145" t="s">
        <v>1445</v>
      </c>
      <c r="D890" s="145" t="s">
        <v>1450</v>
      </c>
      <c r="E890" s="149">
        <v>40315</v>
      </c>
      <c r="F890" s="146">
        <v>15</v>
      </c>
      <c r="G890" s="146">
        <v>21090</v>
      </c>
      <c r="H890" s="152"/>
    </row>
    <row r="891" spans="1:8" hidden="1" x14ac:dyDescent="0.25">
      <c r="A891" s="145" t="s">
        <v>1444</v>
      </c>
      <c r="B891" s="145" t="s">
        <v>1437</v>
      </c>
      <c r="C891" s="145" t="s">
        <v>1445</v>
      </c>
      <c r="D891" s="145" t="s">
        <v>1450</v>
      </c>
      <c r="E891" s="149">
        <v>40353</v>
      </c>
      <c r="F891" s="146">
        <v>15</v>
      </c>
      <c r="G891" s="146">
        <v>18660</v>
      </c>
      <c r="H891" s="152"/>
    </row>
    <row r="892" spans="1:8" hidden="1" x14ac:dyDescent="0.25">
      <c r="A892" s="145" t="s">
        <v>1448</v>
      </c>
      <c r="B892" s="145" t="s">
        <v>1437</v>
      </c>
      <c r="C892" s="145" t="s">
        <v>1445</v>
      </c>
      <c r="D892" s="145" t="s">
        <v>1450</v>
      </c>
      <c r="E892" s="149">
        <v>40589</v>
      </c>
      <c r="F892" s="146">
        <v>15</v>
      </c>
      <c r="G892" s="146">
        <v>14235</v>
      </c>
      <c r="H892" s="152"/>
    </row>
    <row r="893" spans="1:8" hidden="1" x14ac:dyDescent="0.25">
      <c r="A893" s="145" t="s">
        <v>1438</v>
      </c>
      <c r="B893" s="145" t="s">
        <v>1437</v>
      </c>
      <c r="C893" s="145" t="s">
        <v>1441</v>
      </c>
      <c r="D893" s="145" t="s">
        <v>1450</v>
      </c>
      <c r="E893" s="149">
        <v>40898</v>
      </c>
      <c r="F893" s="146">
        <v>15</v>
      </c>
      <c r="G893" s="146">
        <v>8055</v>
      </c>
      <c r="H893" s="152"/>
    </row>
    <row r="894" spans="1:8" hidden="1" x14ac:dyDescent="0.25">
      <c r="A894" s="145" t="s">
        <v>1443</v>
      </c>
      <c r="B894" s="145" t="s">
        <v>1437</v>
      </c>
      <c r="C894" s="145" t="s">
        <v>1439</v>
      </c>
      <c r="D894" s="145" t="s">
        <v>1450</v>
      </c>
      <c r="E894" s="149">
        <v>40414</v>
      </c>
      <c r="F894" s="146">
        <v>15</v>
      </c>
      <c r="G894" s="146">
        <v>14220</v>
      </c>
      <c r="H894" s="152"/>
    </row>
    <row r="895" spans="1:8" hidden="1" x14ac:dyDescent="0.25">
      <c r="A895" s="145" t="s">
        <v>1447</v>
      </c>
      <c r="B895" s="145" t="s">
        <v>1437</v>
      </c>
      <c r="C895" s="145" t="s">
        <v>1439</v>
      </c>
      <c r="D895" s="145" t="s">
        <v>1450</v>
      </c>
      <c r="E895" s="149">
        <v>40502</v>
      </c>
      <c r="F895" s="146">
        <v>15</v>
      </c>
      <c r="G895" s="146">
        <v>26250</v>
      </c>
      <c r="H895" s="152"/>
    </row>
    <row r="896" spans="1:8" hidden="1" x14ac:dyDescent="0.25">
      <c r="A896" s="145" t="s">
        <v>1446</v>
      </c>
      <c r="B896" s="145" t="s">
        <v>1437</v>
      </c>
      <c r="C896" s="145" t="s">
        <v>1439</v>
      </c>
      <c r="D896" s="145" t="s">
        <v>1450</v>
      </c>
      <c r="E896" s="149">
        <v>40554</v>
      </c>
      <c r="F896" s="146">
        <v>15</v>
      </c>
      <c r="G896" s="146">
        <v>15855</v>
      </c>
      <c r="H896" s="152"/>
    </row>
    <row r="897" spans="1:8" hidden="1" x14ac:dyDescent="0.25">
      <c r="A897" s="145" t="s">
        <v>1451</v>
      </c>
      <c r="B897" s="145" t="s">
        <v>1437</v>
      </c>
      <c r="C897" s="145" t="s">
        <v>1436</v>
      </c>
      <c r="D897" s="145" t="s">
        <v>1450</v>
      </c>
      <c r="E897" s="149">
        <v>40479</v>
      </c>
      <c r="F897" s="146">
        <v>15</v>
      </c>
      <c r="G897" s="146">
        <v>20160</v>
      </c>
      <c r="H897" s="152"/>
    </row>
    <row r="898" spans="1:8" hidden="1" x14ac:dyDescent="0.25">
      <c r="A898" s="145" t="s">
        <v>1440</v>
      </c>
      <c r="B898" s="145" t="s">
        <v>1437</v>
      </c>
      <c r="C898" s="145" t="s">
        <v>1436</v>
      </c>
      <c r="D898" s="145" t="s">
        <v>1450</v>
      </c>
      <c r="E898" s="149">
        <v>40768</v>
      </c>
      <c r="F898" s="146">
        <v>15</v>
      </c>
      <c r="G898" s="146">
        <v>15045</v>
      </c>
      <c r="H898" s="152"/>
    </row>
    <row r="899" spans="1:8" hidden="1" x14ac:dyDescent="0.25">
      <c r="A899" s="145" t="s">
        <v>1449</v>
      </c>
      <c r="B899" s="145" t="s">
        <v>1437</v>
      </c>
      <c r="C899" s="145" t="s">
        <v>1445</v>
      </c>
      <c r="D899" s="145" t="s">
        <v>1435</v>
      </c>
      <c r="E899" s="149">
        <v>40840</v>
      </c>
      <c r="F899" s="146">
        <v>16</v>
      </c>
      <c r="G899" s="146">
        <v>15408</v>
      </c>
      <c r="H899" s="152"/>
    </row>
    <row r="900" spans="1:8" hidden="1" x14ac:dyDescent="0.25">
      <c r="A900" s="145" t="s">
        <v>1440</v>
      </c>
      <c r="B900" s="145" t="s">
        <v>1437</v>
      </c>
      <c r="C900" s="145" t="s">
        <v>1441</v>
      </c>
      <c r="D900" s="145" t="s">
        <v>1435</v>
      </c>
      <c r="E900" s="149">
        <v>40257</v>
      </c>
      <c r="F900" s="146">
        <v>16</v>
      </c>
      <c r="G900" s="146">
        <v>20352</v>
      </c>
      <c r="H900" s="152"/>
    </row>
    <row r="901" spans="1:8" hidden="1" x14ac:dyDescent="0.25">
      <c r="A901" s="145" t="s">
        <v>1448</v>
      </c>
      <c r="B901" s="145" t="s">
        <v>1437</v>
      </c>
      <c r="C901" s="145" t="s">
        <v>1441</v>
      </c>
      <c r="D901" s="145" t="s">
        <v>1435</v>
      </c>
      <c r="E901" s="149">
        <v>40536</v>
      </c>
      <c r="F901" s="146">
        <v>16</v>
      </c>
      <c r="G901" s="146">
        <v>19232</v>
      </c>
      <c r="H901" s="152"/>
    </row>
    <row r="902" spans="1:8" hidden="1" x14ac:dyDescent="0.25">
      <c r="A902" s="145" t="s">
        <v>1447</v>
      </c>
      <c r="B902" s="145" t="s">
        <v>1437</v>
      </c>
      <c r="C902" s="145" t="s">
        <v>1439</v>
      </c>
      <c r="D902" s="145" t="s">
        <v>1435</v>
      </c>
      <c r="E902" s="149">
        <v>40569</v>
      </c>
      <c r="F902" s="146">
        <v>17</v>
      </c>
      <c r="G902" s="146">
        <v>6987</v>
      </c>
      <c r="H902" s="152"/>
    </row>
    <row r="903" spans="1:8" hidden="1" x14ac:dyDescent="0.25">
      <c r="A903" s="145" t="s">
        <v>1444</v>
      </c>
      <c r="B903" s="145" t="s">
        <v>1437</v>
      </c>
      <c r="C903" s="145" t="s">
        <v>1439</v>
      </c>
      <c r="D903" s="145" t="s">
        <v>1435</v>
      </c>
      <c r="E903" s="149">
        <v>40274</v>
      </c>
      <c r="F903" s="146">
        <v>18</v>
      </c>
      <c r="G903" s="146">
        <v>30564</v>
      </c>
      <c r="H903" s="152"/>
    </row>
    <row r="904" spans="1:8" hidden="1" x14ac:dyDescent="0.25">
      <c r="A904" s="145" t="s">
        <v>1446</v>
      </c>
      <c r="B904" s="145" t="s">
        <v>1437</v>
      </c>
      <c r="C904" s="145" t="s">
        <v>1439</v>
      </c>
      <c r="D904" s="145" t="s">
        <v>1435</v>
      </c>
      <c r="E904" s="149">
        <v>40838</v>
      </c>
      <c r="F904" s="146">
        <v>18</v>
      </c>
      <c r="G904" s="146">
        <v>26334</v>
      </c>
      <c r="H904" s="152"/>
    </row>
    <row r="905" spans="1:8" hidden="1" x14ac:dyDescent="0.25">
      <c r="A905" s="145" t="s">
        <v>1440</v>
      </c>
      <c r="B905" s="145" t="s">
        <v>1437</v>
      </c>
      <c r="C905" s="145" t="s">
        <v>1436</v>
      </c>
      <c r="D905" s="145" t="s">
        <v>1435</v>
      </c>
      <c r="E905" s="149">
        <v>40339</v>
      </c>
      <c r="F905" s="146">
        <v>18</v>
      </c>
      <c r="G905" s="146">
        <v>25794</v>
      </c>
      <c r="H905" s="152"/>
    </row>
    <row r="906" spans="1:8" hidden="1" x14ac:dyDescent="0.25">
      <c r="A906" s="145" t="s">
        <v>1444</v>
      </c>
      <c r="B906" s="145" t="s">
        <v>1437</v>
      </c>
      <c r="C906" s="145" t="s">
        <v>1445</v>
      </c>
      <c r="D906" s="145" t="s">
        <v>1435</v>
      </c>
      <c r="E906" s="149">
        <v>40451</v>
      </c>
      <c r="F906" s="146">
        <v>19</v>
      </c>
      <c r="G906" s="146">
        <v>34276</v>
      </c>
      <c r="H906" s="152"/>
    </row>
    <row r="907" spans="1:8" hidden="1" x14ac:dyDescent="0.25">
      <c r="A907" s="145" t="s">
        <v>1444</v>
      </c>
      <c r="B907" s="145" t="s">
        <v>1437</v>
      </c>
      <c r="C907" s="145" t="s">
        <v>1439</v>
      </c>
      <c r="D907" s="145" t="s">
        <v>1435</v>
      </c>
      <c r="E907" s="149">
        <v>40502</v>
      </c>
      <c r="F907" s="146">
        <v>19</v>
      </c>
      <c r="G907" s="146">
        <v>11552</v>
      </c>
      <c r="H907" s="152"/>
    </row>
    <row r="908" spans="1:8" hidden="1" x14ac:dyDescent="0.25">
      <c r="A908" s="145" t="s">
        <v>1440</v>
      </c>
      <c r="B908" s="145" t="s">
        <v>1437</v>
      </c>
      <c r="C908" s="145" t="s">
        <v>1441</v>
      </c>
      <c r="D908" s="145" t="s">
        <v>1435</v>
      </c>
      <c r="E908" s="149">
        <v>40238</v>
      </c>
      <c r="F908" s="146">
        <v>20</v>
      </c>
      <c r="G908" s="146">
        <v>38040</v>
      </c>
      <c r="H908" s="152"/>
    </row>
    <row r="909" spans="1:8" hidden="1" x14ac:dyDescent="0.25">
      <c r="A909" s="145" t="s">
        <v>1443</v>
      </c>
      <c r="B909" s="145" t="s">
        <v>1437</v>
      </c>
      <c r="C909" s="145" t="s">
        <v>1441</v>
      </c>
      <c r="D909" s="145" t="s">
        <v>1435</v>
      </c>
      <c r="E909" s="149">
        <v>40263</v>
      </c>
      <c r="F909" s="146">
        <v>20</v>
      </c>
      <c r="G909" s="146">
        <v>34360</v>
      </c>
      <c r="H909" s="152"/>
    </row>
    <row r="910" spans="1:8" hidden="1" x14ac:dyDescent="0.25">
      <c r="A910" s="145" t="s">
        <v>1442</v>
      </c>
      <c r="B910" s="145" t="s">
        <v>1437</v>
      </c>
      <c r="C910" s="145" t="s">
        <v>1441</v>
      </c>
      <c r="D910" s="145" t="s">
        <v>1435</v>
      </c>
      <c r="E910" s="149">
        <v>40897</v>
      </c>
      <c r="F910" s="146">
        <v>20</v>
      </c>
      <c r="G910" s="146">
        <v>8420</v>
      </c>
      <c r="H910" s="152"/>
    </row>
    <row r="911" spans="1:8" hidden="1" x14ac:dyDescent="0.25">
      <c r="A911" s="145" t="s">
        <v>1440</v>
      </c>
      <c r="B911" s="145" t="s">
        <v>1437</v>
      </c>
      <c r="C911" s="145" t="s">
        <v>1439</v>
      </c>
      <c r="D911" s="145" t="s">
        <v>1435</v>
      </c>
      <c r="E911" s="149">
        <v>40401</v>
      </c>
      <c r="F911" s="146">
        <v>20</v>
      </c>
      <c r="G911" s="146">
        <v>39780</v>
      </c>
      <c r="H911" s="152"/>
    </row>
    <row r="912" spans="1:8" hidden="1" x14ac:dyDescent="0.25">
      <c r="A912" s="145" t="s">
        <v>1438</v>
      </c>
      <c r="B912" s="145" t="s">
        <v>1437</v>
      </c>
      <c r="C912" s="145" t="s">
        <v>1436</v>
      </c>
      <c r="D912" s="145" t="s">
        <v>1435</v>
      </c>
      <c r="E912" s="149">
        <v>40691</v>
      </c>
      <c r="F912" s="146">
        <v>20</v>
      </c>
      <c r="G912" s="146">
        <v>14120</v>
      </c>
      <c r="H912" s="152"/>
    </row>
    <row r="913" spans="1:8" x14ac:dyDescent="0.25">
      <c r="A913" s="256" t="s">
        <v>1404</v>
      </c>
      <c r="B913" s="256"/>
      <c r="C913" s="256"/>
      <c r="D913" s="256"/>
      <c r="E913" s="259"/>
      <c r="F913" s="257">
        <f>SUBTOTAL(103,Table2[Items])</f>
        <v>40</v>
      </c>
      <c r="G913" s="258">
        <f>SUBTOTAL(109,Table2[Amount])</f>
        <v>203957</v>
      </c>
      <c r="H913"/>
    </row>
    <row r="914" spans="1:8" x14ac:dyDescent="0.25">
      <c r="E914" s="148"/>
      <c r="F914" s="145"/>
      <c r="G914" s="145"/>
    </row>
  </sheetData>
  <printOptions gridLines="1" gridLinesSet="0"/>
  <pageMargins left="0.75" right="0.75" top="1" bottom="1" header="0.5" footer="0.5"/>
  <pageSetup orientation="portrait" horizontalDpi="4294967292" r:id="rId1"/>
  <headerFooter alignWithMargins="0">
    <oddHeader>&amp;A</oddHeader>
    <oddFooter>Page &amp;P</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4"/>
  <sheetViews>
    <sheetView zoomScale="145" zoomScaleNormal="145" workbookViewId="0">
      <selection activeCell="B35" sqref="B35"/>
    </sheetView>
  </sheetViews>
  <sheetFormatPr defaultRowHeight="15" x14ac:dyDescent="0.25"/>
  <cols>
    <col min="1" max="1" width="15.7109375" style="157" bestFit="1" customWidth="1"/>
    <col min="2" max="2" width="8.28515625" style="157" bestFit="1" customWidth="1"/>
    <col min="3" max="3" width="11.7109375" style="157" bestFit="1" customWidth="1"/>
    <col min="4" max="4" width="6.42578125" style="157" bestFit="1" customWidth="1"/>
    <col min="5" max="5" width="10.140625" style="157" bestFit="1" customWidth="1"/>
    <col min="6" max="6" width="7.42578125" style="157" bestFit="1" customWidth="1"/>
    <col min="7" max="7" width="9.5703125" style="157" bestFit="1" customWidth="1"/>
    <col min="8" max="10" width="9.140625" style="157"/>
    <col min="11" max="11" width="27.28515625" style="157" bestFit="1" customWidth="1"/>
    <col min="12" max="16384" width="9.140625" style="157"/>
  </cols>
  <sheetData>
    <row r="1" spans="1:12" x14ac:dyDescent="0.25">
      <c r="A1" s="26" t="s">
        <v>229</v>
      </c>
      <c r="B1" s="27" t="s">
        <v>230</v>
      </c>
      <c r="C1" s="28" t="s">
        <v>231</v>
      </c>
      <c r="D1" s="28" t="s">
        <v>234</v>
      </c>
      <c r="E1" s="28" t="s">
        <v>239</v>
      </c>
      <c r="J1" s="27" t="s">
        <v>230</v>
      </c>
      <c r="K1" s="28" t="s">
        <v>231</v>
      </c>
      <c r="L1" s="28" t="s">
        <v>234</v>
      </c>
    </row>
    <row r="2" spans="1:12" x14ac:dyDescent="0.25">
      <c r="J2" s="46" t="s">
        <v>245</v>
      </c>
      <c r="K2" s="45" t="s">
        <v>1468</v>
      </c>
      <c r="L2" s="45" t="s">
        <v>256</v>
      </c>
    </row>
    <row r="3" spans="1:12" x14ac:dyDescent="0.25">
      <c r="J3" s="46" t="s">
        <v>251</v>
      </c>
      <c r="K3" s="39" t="s">
        <v>272</v>
      </c>
      <c r="L3" s="45" t="s">
        <v>261</v>
      </c>
    </row>
    <row r="4" spans="1:12" x14ac:dyDescent="0.25">
      <c r="J4" s="46" t="s">
        <v>266</v>
      </c>
      <c r="K4" s="39" t="s">
        <v>296</v>
      </c>
      <c r="L4" s="45" t="s">
        <v>247</v>
      </c>
    </row>
    <row r="5" spans="1:12" x14ac:dyDescent="0.25">
      <c r="J5" s="46" t="s">
        <v>285</v>
      </c>
      <c r="K5" s="39" t="s">
        <v>307</v>
      </c>
      <c r="L5" s="45" t="s">
        <v>252</v>
      </c>
    </row>
    <row r="6" spans="1:12" x14ac:dyDescent="0.25">
      <c r="J6" s="46" t="s">
        <v>271</v>
      </c>
      <c r="K6" s="39" t="s">
        <v>312</v>
      </c>
    </row>
    <row r="7" spans="1:12" x14ac:dyDescent="0.25">
      <c r="J7" s="46" t="s">
        <v>280</v>
      </c>
      <c r="K7" s="39" t="s">
        <v>372</v>
      </c>
    </row>
    <row r="8" spans="1:12" x14ac:dyDescent="0.25">
      <c r="K8" s="39" t="s">
        <v>381</v>
      </c>
    </row>
    <row r="9" spans="1:12" x14ac:dyDescent="0.25">
      <c r="K9" s="39" t="s">
        <v>391</v>
      </c>
    </row>
    <row r="10" spans="1:12" x14ac:dyDescent="0.25">
      <c r="K10" s="39" t="s">
        <v>411</v>
      </c>
    </row>
    <row r="11" spans="1:12" x14ac:dyDescent="0.25">
      <c r="K11" s="39" t="s">
        <v>417</v>
      </c>
    </row>
    <row r="12" spans="1:12" x14ac:dyDescent="0.25">
      <c r="K12" s="39" t="s">
        <v>456</v>
      </c>
    </row>
    <row r="13" spans="1:12" x14ac:dyDescent="0.25">
      <c r="K13" s="39" t="s">
        <v>465</v>
      </c>
    </row>
    <row r="14" spans="1:12" x14ac:dyDescent="0.25">
      <c r="K14" s="39" t="s">
        <v>618</v>
      </c>
    </row>
    <row r="15" spans="1:12" x14ac:dyDescent="0.25">
      <c r="K15" s="39" t="s">
        <v>626</v>
      </c>
    </row>
    <row r="16" spans="1:12" x14ac:dyDescent="0.25">
      <c r="K16" s="39" t="s">
        <v>678</v>
      </c>
    </row>
    <row r="17" spans="11:11" x14ac:dyDescent="0.25">
      <c r="K17" s="39" t="s">
        <v>700</v>
      </c>
    </row>
    <row r="18" spans="11:11" x14ac:dyDescent="0.25">
      <c r="K18" s="39" t="s">
        <v>705</v>
      </c>
    </row>
    <row r="19" spans="11:11" x14ac:dyDescent="0.25">
      <c r="K19" s="39" t="s">
        <v>750</v>
      </c>
    </row>
    <row r="20" spans="11:11" x14ac:dyDescent="0.25">
      <c r="K20" s="39" t="s">
        <v>767</v>
      </c>
    </row>
    <row r="21" spans="11:11" x14ac:dyDescent="0.25">
      <c r="K21" s="39" t="s">
        <v>856</v>
      </c>
    </row>
    <row r="22" spans="11:11" x14ac:dyDescent="0.25">
      <c r="K22" s="39" t="s">
        <v>930</v>
      </c>
    </row>
    <row r="23" spans="11:11" x14ac:dyDescent="0.25">
      <c r="K23" s="39" t="s">
        <v>1025</v>
      </c>
    </row>
    <row r="24" spans="11:11" x14ac:dyDescent="0.25">
      <c r="K24" s="39" t="s">
        <v>1031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L742"/>
  <sheetViews>
    <sheetView topLeftCell="A16" zoomScale="85" zoomScaleNormal="85" zoomScaleSheetLayoutView="100" workbookViewId="0">
      <selection activeCell="B35" sqref="B35"/>
    </sheetView>
  </sheetViews>
  <sheetFormatPr defaultColWidth="19.85546875" defaultRowHeight="15" x14ac:dyDescent="0.25"/>
  <cols>
    <col min="1" max="1" width="19.5703125" style="158" bestFit="1" customWidth="1"/>
    <col min="2" max="2" width="22.42578125" style="158" customWidth="1"/>
    <col min="3" max="3" width="8.28515625" style="163" bestFit="1" customWidth="1"/>
    <col min="4" max="4" width="14" style="162" bestFit="1" customWidth="1"/>
    <col min="5" max="5" width="11.7109375" style="161" bestFit="1" customWidth="1"/>
    <col min="6" max="6" width="9.7109375" style="158" customWidth="1"/>
    <col min="7" max="7" width="11" style="159" bestFit="1" customWidth="1"/>
    <col min="8" max="8" width="5.85546875" style="160" bestFit="1" customWidth="1"/>
    <col min="9" max="9" width="10.85546875" style="159" bestFit="1" customWidth="1"/>
    <col min="10" max="10" width="8.42578125" style="158" bestFit="1" customWidth="1"/>
    <col min="11" max="11" width="9.140625" style="70" bestFit="1" customWidth="1"/>
    <col min="12" max="12" width="10" style="158" bestFit="1" customWidth="1"/>
    <col min="13" max="16384" width="19.85546875" style="158"/>
  </cols>
  <sheetData>
    <row r="1" spans="1:12" x14ac:dyDescent="0.25">
      <c r="A1" s="180" t="s">
        <v>229</v>
      </c>
      <c r="B1" s="174" t="s">
        <v>231</v>
      </c>
      <c r="C1" s="173" t="s">
        <v>230</v>
      </c>
      <c r="D1" s="179" t="s">
        <v>233</v>
      </c>
      <c r="E1" s="178" t="s">
        <v>232</v>
      </c>
      <c r="F1" s="174" t="s">
        <v>234</v>
      </c>
      <c r="G1" s="177" t="s">
        <v>235</v>
      </c>
      <c r="H1" s="176" t="s">
        <v>237</v>
      </c>
      <c r="I1" s="175" t="s">
        <v>236</v>
      </c>
      <c r="J1" s="174" t="s">
        <v>238</v>
      </c>
      <c r="K1" s="34" t="s">
        <v>239</v>
      </c>
      <c r="L1" s="173" t="s">
        <v>240</v>
      </c>
    </row>
    <row r="2" spans="1:12" x14ac:dyDescent="0.25">
      <c r="A2" s="158" t="s">
        <v>863</v>
      </c>
      <c r="B2" s="169" t="s">
        <v>246</v>
      </c>
      <c r="C2" s="168" t="s">
        <v>251</v>
      </c>
      <c r="D2" s="172">
        <v>9195818082</v>
      </c>
      <c r="E2" s="171">
        <v>411526157</v>
      </c>
      <c r="F2" s="169" t="s">
        <v>252</v>
      </c>
      <c r="G2" s="165">
        <v>34574</v>
      </c>
      <c r="H2" s="51">
        <f t="shared" ref="H2:H65" ca="1" si="0">DATEDIF(G2,TODAY(),"Y")</f>
        <v>22</v>
      </c>
      <c r="I2" s="164" t="str">
        <f t="shared" ref="I2:I65" si="1">CHOOSE(MONTH(G2),"January","February","March","April","May","June","July","August","September","October","November","December")</f>
        <v>August</v>
      </c>
      <c r="J2" s="52"/>
      <c r="K2" s="53">
        <v>42816</v>
      </c>
      <c r="L2" s="163">
        <v>2</v>
      </c>
    </row>
    <row r="3" spans="1:12" x14ac:dyDescent="0.25">
      <c r="A3" s="158" t="s">
        <v>790</v>
      </c>
      <c r="B3" s="169" t="s">
        <v>246</v>
      </c>
      <c r="C3" s="168" t="s">
        <v>245</v>
      </c>
      <c r="D3" s="172">
        <v>2523539786</v>
      </c>
      <c r="E3" s="171">
        <v>948195711</v>
      </c>
      <c r="F3" s="169" t="s">
        <v>247</v>
      </c>
      <c r="G3" s="165">
        <v>39875</v>
      </c>
      <c r="H3" s="51">
        <f t="shared" ca="1" si="0"/>
        <v>7</v>
      </c>
      <c r="I3" s="164" t="str">
        <f t="shared" si="1"/>
        <v>March</v>
      </c>
      <c r="J3" s="52"/>
      <c r="K3" s="53">
        <v>51048</v>
      </c>
      <c r="L3" s="163">
        <v>5</v>
      </c>
    </row>
    <row r="4" spans="1:12" x14ac:dyDescent="0.25">
      <c r="A4" s="158" t="s">
        <v>951</v>
      </c>
      <c r="B4" s="169" t="s">
        <v>246</v>
      </c>
      <c r="C4" s="168" t="s">
        <v>245</v>
      </c>
      <c r="D4" s="172">
        <v>4022804104</v>
      </c>
      <c r="E4" s="171">
        <v>100432924</v>
      </c>
      <c r="F4" s="169" t="s">
        <v>256</v>
      </c>
      <c r="G4" s="165">
        <v>36899</v>
      </c>
      <c r="H4" s="51">
        <f t="shared" ca="1" si="0"/>
        <v>15</v>
      </c>
      <c r="I4" s="164" t="str">
        <f t="shared" si="1"/>
        <v>January</v>
      </c>
      <c r="J4" s="52" t="s">
        <v>257</v>
      </c>
      <c r="K4" s="53">
        <v>29460</v>
      </c>
      <c r="L4" s="163">
        <v>1</v>
      </c>
    </row>
    <row r="5" spans="1:12" x14ac:dyDescent="0.25">
      <c r="A5" s="158" t="s">
        <v>740</v>
      </c>
      <c r="B5" s="169" t="s">
        <v>246</v>
      </c>
      <c r="C5" s="168" t="s">
        <v>266</v>
      </c>
      <c r="D5" s="172">
        <v>2528138394</v>
      </c>
      <c r="E5" s="171">
        <v>991656720</v>
      </c>
      <c r="F5" s="169" t="s">
        <v>256</v>
      </c>
      <c r="G5" s="165">
        <v>40175</v>
      </c>
      <c r="H5" s="51">
        <f t="shared" ca="1" si="0"/>
        <v>6</v>
      </c>
      <c r="I5" s="164" t="str">
        <f t="shared" si="1"/>
        <v>December</v>
      </c>
      <c r="J5" s="52" t="s">
        <v>267</v>
      </c>
      <c r="K5" s="53">
        <v>87396</v>
      </c>
      <c r="L5" s="163">
        <v>2</v>
      </c>
    </row>
    <row r="6" spans="1:12" x14ac:dyDescent="0.25">
      <c r="A6" s="158" t="s">
        <v>357</v>
      </c>
      <c r="B6" s="169" t="s">
        <v>246</v>
      </c>
      <c r="C6" s="168" t="s">
        <v>245</v>
      </c>
      <c r="D6" s="172">
        <v>2521774590</v>
      </c>
      <c r="E6" s="171">
        <v>914428485</v>
      </c>
      <c r="F6" s="169" t="s">
        <v>261</v>
      </c>
      <c r="G6" s="165">
        <v>34018</v>
      </c>
      <c r="H6" s="51">
        <f t="shared" ca="1" si="0"/>
        <v>23</v>
      </c>
      <c r="I6" s="164" t="str">
        <f t="shared" si="1"/>
        <v>February</v>
      </c>
      <c r="J6" s="52" t="s">
        <v>262</v>
      </c>
      <c r="K6" s="53">
        <v>32154</v>
      </c>
      <c r="L6" s="163">
        <v>4</v>
      </c>
    </row>
    <row r="7" spans="1:12" x14ac:dyDescent="0.25">
      <c r="A7" s="158" t="s">
        <v>617</v>
      </c>
      <c r="B7" s="158" t="s">
        <v>272</v>
      </c>
      <c r="C7" s="168" t="s">
        <v>266</v>
      </c>
      <c r="D7" s="167">
        <v>9198449868</v>
      </c>
      <c r="E7" s="166">
        <v>840313216</v>
      </c>
      <c r="F7" s="158" t="s">
        <v>256</v>
      </c>
      <c r="G7" s="165">
        <v>39797</v>
      </c>
      <c r="H7" s="51">
        <f t="shared" ca="1" si="0"/>
        <v>7</v>
      </c>
      <c r="I7" s="164" t="str">
        <f t="shared" si="1"/>
        <v>December</v>
      </c>
      <c r="J7" s="52" t="s">
        <v>267</v>
      </c>
      <c r="K7" s="53">
        <v>45204</v>
      </c>
      <c r="L7" s="163">
        <v>3</v>
      </c>
    </row>
    <row r="8" spans="1:12" x14ac:dyDescent="0.25">
      <c r="A8" s="158" t="s">
        <v>766</v>
      </c>
      <c r="B8" s="169" t="s">
        <v>272</v>
      </c>
      <c r="C8" s="168" t="s">
        <v>245</v>
      </c>
      <c r="D8" s="172">
        <v>2522872439</v>
      </c>
      <c r="E8" s="171">
        <v>771277493</v>
      </c>
      <c r="F8" s="169" t="s">
        <v>252</v>
      </c>
      <c r="G8" s="165">
        <v>40854</v>
      </c>
      <c r="H8" s="51">
        <f t="shared" ca="1" si="0"/>
        <v>5</v>
      </c>
      <c r="I8" s="164" t="str">
        <f t="shared" si="1"/>
        <v>November</v>
      </c>
      <c r="J8" s="52"/>
      <c r="K8" s="53">
        <v>12763</v>
      </c>
      <c r="L8" s="163">
        <v>4</v>
      </c>
    </row>
    <row r="9" spans="1:12" x14ac:dyDescent="0.25">
      <c r="A9" s="158" t="s">
        <v>768</v>
      </c>
      <c r="B9" s="169" t="s">
        <v>272</v>
      </c>
      <c r="C9" s="168" t="s">
        <v>271</v>
      </c>
      <c r="D9" s="172">
        <v>2521641031</v>
      </c>
      <c r="E9" s="171">
        <v>638271383</v>
      </c>
      <c r="F9" s="169" t="s">
        <v>256</v>
      </c>
      <c r="G9" s="165">
        <v>38870</v>
      </c>
      <c r="H9" s="51">
        <f t="shared" ca="1" si="0"/>
        <v>10</v>
      </c>
      <c r="I9" s="164" t="str">
        <f t="shared" si="1"/>
        <v>June</v>
      </c>
      <c r="J9" s="52" t="s">
        <v>257</v>
      </c>
      <c r="K9" s="53">
        <v>59220</v>
      </c>
      <c r="L9" s="163">
        <v>4</v>
      </c>
    </row>
    <row r="10" spans="1:12" x14ac:dyDescent="0.25">
      <c r="A10" s="158" t="s">
        <v>707</v>
      </c>
      <c r="B10" s="158" t="s">
        <v>272</v>
      </c>
      <c r="C10" s="168" t="s">
        <v>245</v>
      </c>
      <c r="D10" s="167">
        <v>2523646601</v>
      </c>
      <c r="E10" s="166">
        <v>767961463</v>
      </c>
      <c r="F10" s="158" t="s">
        <v>247</v>
      </c>
      <c r="G10" s="165">
        <v>37505</v>
      </c>
      <c r="H10" s="51">
        <f t="shared" ca="1" si="0"/>
        <v>14</v>
      </c>
      <c r="I10" s="164" t="str">
        <f t="shared" si="1"/>
        <v>September</v>
      </c>
      <c r="J10" s="52"/>
      <c r="K10" s="53">
        <v>92028</v>
      </c>
      <c r="L10" s="163">
        <v>3</v>
      </c>
    </row>
    <row r="11" spans="1:12" x14ac:dyDescent="0.25">
      <c r="A11" s="158" t="s">
        <v>418</v>
      </c>
      <c r="B11" s="158" t="s">
        <v>272</v>
      </c>
      <c r="C11" s="168" t="s">
        <v>285</v>
      </c>
      <c r="D11" s="167">
        <v>2527317354</v>
      </c>
      <c r="E11" s="166">
        <v>542051793</v>
      </c>
      <c r="F11" s="158" t="s">
        <v>256</v>
      </c>
      <c r="G11" s="165">
        <v>36988</v>
      </c>
      <c r="H11" s="51">
        <f t="shared" ca="1" si="0"/>
        <v>15</v>
      </c>
      <c r="I11" s="164" t="str">
        <f t="shared" si="1"/>
        <v>April</v>
      </c>
      <c r="J11" s="52" t="s">
        <v>257</v>
      </c>
      <c r="K11" s="53">
        <v>90180</v>
      </c>
      <c r="L11" s="163">
        <v>1</v>
      </c>
    </row>
    <row r="12" spans="1:12" x14ac:dyDescent="0.25">
      <c r="A12" s="158" t="s">
        <v>632</v>
      </c>
      <c r="B12" s="158" t="s">
        <v>272</v>
      </c>
      <c r="C12" s="168" t="s">
        <v>251</v>
      </c>
      <c r="D12" s="167">
        <v>9192693355</v>
      </c>
      <c r="E12" s="166">
        <v>975603308</v>
      </c>
      <c r="F12" s="158" t="s">
        <v>256</v>
      </c>
      <c r="G12" s="165">
        <v>38132</v>
      </c>
      <c r="H12" s="51">
        <f t="shared" ca="1" si="0"/>
        <v>12</v>
      </c>
      <c r="I12" s="164" t="str">
        <f t="shared" si="1"/>
        <v>May</v>
      </c>
      <c r="J12" s="52" t="s">
        <v>257</v>
      </c>
      <c r="K12" s="53">
        <v>36936</v>
      </c>
      <c r="L12" s="163">
        <v>4</v>
      </c>
    </row>
    <row r="13" spans="1:12" x14ac:dyDescent="0.25">
      <c r="A13" s="158" t="s">
        <v>421</v>
      </c>
      <c r="B13" s="169" t="s">
        <v>272</v>
      </c>
      <c r="C13" s="168" t="s">
        <v>251</v>
      </c>
      <c r="D13" s="172">
        <v>2527936742</v>
      </c>
      <c r="E13" s="171">
        <v>356110882</v>
      </c>
      <c r="F13" s="169" t="s">
        <v>261</v>
      </c>
      <c r="G13" s="165">
        <v>36945</v>
      </c>
      <c r="H13" s="51">
        <f t="shared" ca="1" si="0"/>
        <v>15</v>
      </c>
      <c r="I13" s="164" t="str">
        <f t="shared" si="1"/>
        <v>February</v>
      </c>
      <c r="J13" s="52" t="s">
        <v>257</v>
      </c>
      <c r="K13" s="53">
        <v>18288</v>
      </c>
      <c r="L13" s="163">
        <v>1</v>
      </c>
    </row>
    <row r="14" spans="1:12" x14ac:dyDescent="0.25">
      <c r="A14" s="158" t="s">
        <v>946</v>
      </c>
      <c r="B14" s="169" t="s">
        <v>272</v>
      </c>
      <c r="C14" s="168" t="s">
        <v>280</v>
      </c>
      <c r="D14" s="172">
        <v>2527852326</v>
      </c>
      <c r="E14" s="171">
        <v>475256935</v>
      </c>
      <c r="F14" s="169" t="s">
        <v>256</v>
      </c>
      <c r="G14" s="165">
        <v>36470</v>
      </c>
      <c r="H14" s="51">
        <f t="shared" ca="1" si="0"/>
        <v>17</v>
      </c>
      <c r="I14" s="164" t="str">
        <f t="shared" si="1"/>
        <v>November</v>
      </c>
      <c r="J14" s="52" t="s">
        <v>283</v>
      </c>
      <c r="K14" s="53">
        <v>102360</v>
      </c>
      <c r="L14" s="163">
        <v>2</v>
      </c>
    </row>
    <row r="15" spans="1:12" x14ac:dyDescent="0.25">
      <c r="A15" s="158" t="s">
        <v>717</v>
      </c>
      <c r="B15" s="158" t="s">
        <v>272</v>
      </c>
      <c r="C15" s="168" t="s">
        <v>285</v>
      </c>
      <c r="D15" s="167">
        <v>9194075460</v>
      </c>
      <c r="E15" s="166">
        <v>608796012</v>
      </c>
      <c r="F15" s="158" t="s">
        <v>256</v>
      </c>
      <c r="G15" s="165">
        <v>34559</v>
      </c>
      <c r="H15" s="51">
        <f t="shared" ca="1" si="0"/>
        <v>22</v>
      </c>
      <c r="I15" s="164" t="str">
        <f t="shared" si="1"/>
        <v>August</v>
      </c>
      <c r="J15" s="52" t="s">
        <v>257</v>
      </c>
      <c r="K15" s="53">
        <v>95712</v>
      </c>
      <c r="L15" s="163">
        <v>5</v>
      </c>
    </row>
    <row r="16" spans="1:12" x14ac:dyDescent="0.25">
      <c r="A16" s="158" t="s">
        <v>335</v>
      </c>
      <c r="B16" s="158" t="s">
        <v>272</v>
      </c>
      <c r="C16" s="168" t="s">
        <v>285</v>
      </c>
      <c r="D16" s="167">
        <v>8021673267</v>
      </c>
      <c r="E16" s="166">
        <v>768681542</v>
      </c>
      <c r="F16" s="158" t="s">
        <v>256</v>
      </c>
      <c r="G16" s="165">
        <v>36192</v>
      </c>
      <c r="H16" s="51">
        <f t="shared" ca="1" si="0"/>
        <v>17</v>
      </c>
      <c r="I16" s="164" t="str">
        <f t="shared" si="1"/>
        <v>February</v>
      </c>
      <c r="J16" s="52" t="s">
        <v>257</v>
      </c>
      <c r="K16" s="53">
        <v>72996</v>
      </c>
      <c r="L16" s="163">
        <v>2</v>
      </c>
    </row>
    <row r="17" spans="1:12" x14ac:dyDescent="0.25">
      <c r="A17" s="158" t="s">
        <v>977</v>
      </c>
      <c r="B17" s="158" t="s">
        <v>272</v>
      </c>
      <c r="C17" s="168" t="s">
        <v>271</v>
      </c>
      <c r="D17" s="167">
        <v>9197889149</v>
      </c>
      <c r="E17" s="166">
        <v>781913936</v>
      </c>
      <c r="F17" s="158" t="s">
        <v>261</v>
      </c>
      <c r="G17" s="165">
        <v>38510</v>
      </c>
      <c r="H17" s="51">
        <f t="shared" ca="1" si="0"/>
        <v>11</v>
      </c>
      <c r="I17" s="164" t="str">
        <f t="shared" si="1"/>
        <v>June</v>
      </c>
      <c r="J17" s="52" t="s">
        <v>276</v>
      </c>
      <c r="K17" s="53">
        <v>21282</v>
      </c>
      <c r="L17" s="163">
        <v>3</v>
      </c>
    </row>
    <row r="18" spans="1:12" x14ac:dyDescent="0.25">
      <c r="A18" s="158" t="s">
        <v>655</v>
      </c>
      <c r="B18" s="169" t="s">
        <v>272</v>
      </c>
      <c r="C18" s="168" t="s">
        <v>280</v>
      </c>
      <c r="D18" s="172">
        <v>9195230846</v>
      </c>
      <c r="E18" s="171">
        <v>415076748</v>
      </c>
      <c r="F18" s="169" t="s">
        <v>252</v>
      </c>
      <c r="G18" s="165">
        <v>34210</v>
      </c>
      <c r="H18" s="51">
        <f t="shared" ca="1" si="0"/>
        <v>23</v>
      </c>
      <c r="I18" s="164" t="str">
        <f t="shared" si="1"/>
        <v>August</v>
      </c>
      <c r="J18" s="52" t="s">
        <v>257</v>
      </c>
      <c r="K18" s="53">
        <v>34884</v>
      </c>
      <c r="L18" s="163">
        <v>3</v>
      </c>
    </row>
    <row r="19" spans="1:12" x14ac:dyDescent="0.25">
      <c r="A19" s="158" t="s">
        <v>552</v>
      </c>
      <c r="B19" s="169" t="s">
        <v>272</v>
      </c>
      <c r="C19" s="168" t="s">
        <v>271</v>
      </c>
      <c r="D19" s="172">
        <v>2523492633</v>
      </c>
      <c r="E19" s="171">
        <v>535539723</v>
      </c>
      <c r="F19" s="169" t="s">
        <v>261</v>
      </c>
      <c r="G19" s="165">
        <v>34202</v>
      </c>
      <c r="H19" s="51">
        <f t="shared" ca="1" si="0"/>
        <v>23</v>
      </c>
      <c r="I19" s="164" t="str">
        <f t="shared" si="1"/>
        <v>August</v>
      </c>
      <c r="J19" s="52" t="s">
        <v>262</v>
      </c>
      <c r="K19" s="53">
        <v>36534</v>
      </c>
      <c r="L19" s="163">
        <v>1</v>
      </c>
    </row>
    <row r="20" spans="1:12" x14ac:dyDescent="0.25">
      <c r="A20" s="158" t="s">
        <v>581</v>
      </c>
      <c r="B20" s="158" t="s">
        <v>272</v>
      </c>
      <c r="C20" s="168" t="s">
        <v>271</v>
      </c>
      <c r="D20" s="167">
        <v>2528467597</v>
      </c>
      <c r="E20" s="166">
        <v>202815919</v>
      </c>
      <c r="F20" s="158" t="s">
        <v>247</v>
      </c>
      <c r="G20" s="165">
        <v>34804</v>
      </c>
      <c r="H20" s="51">
        <f t="shared" ca="1" si="0"/>
        <v>21</v>
      </c>
      <c r="I20" s="164" t="str">
        <f t="shared" si="1"/>
        <v>April</v>
      </c>
      <c r="J20" s="52"/>
      <c r="K20" s="53">
        <v>79896</v>
      </c>
      <c r="L20" s="163">
        <v>5</v>
      </c>
    </row>
    <row r="21" spans="1:12" x14ac:dyDescent="0.25">
      <c r="A21" s="158" t="s">
        <v>1005</v>
      </c>
      <c r="B21" s="158" t="s">
        <v>272</v>
      </c>
      <c r="C21" s="168" t="s">
        <v>266</v>
      </c>
      <c r="D21" s="167">
        <v>9194680033</v>
      </c>
      <c r="E21" s="166">
        <v>456946966</v>
      </c>
      <c r="F21" s="158" t="s">
        <v>256</v>
      </c>
      <c r="G21" s="165">
        <v>37492</v>
      </c>
      <c r="H21" s="51">
        <f t="shared" ca="1" si="0"/>
        <v>14</v>
      </c>
      <c r="I21" s="164" t="str">
        <f t="shared" si="1"/>
        <v>August</v>
      </c>
      <c r="J21" s="52" t="s">
        <v>276</v>
      </c>
      <c r="K21" s="53">
        <v>89808</v>
      </c>
      <c r="L21" s="163">
        <v>4</v>
      </c>
    </row>
    <row r="22" spans="1:12" x14ac:dyDescent="0.25">
      <c r="A22" s="158" t="s">
        <v>702</v>
      </c>
      <c r="B22" s="158" t="s">
        <v>272</v>
      </c>
      <c r="C22" s="168" t="s">
        <v>251</v>
      </c>
      <c r="D22" s="167">
        <v>9196479087</v>
      </c>
      <c r="E22" s="166">
        <v>481336564</v>
      </c>
      <c r="F22" s="158" t="s">
        <v>256</v>
      </c>
      <c r="G22" s="165">
        <v>36871</v>
      </c>
      <c r="H22" s="51">
        <f t="shared" ca="1" si="0"/>
        <v>15</v>
      </c>
      <c r="I22" s="164" t="str">
        <f t="shared" si="1"/>
        <v>December</v>
      </c>
      <c r="J22" s="52" t="s">
        <v>283</v>
      </c>
      <c r="K22" s="53">
        <v>86508</v>
      </c>
      <c r="L22" s="163">
        <v>5</v>
      </c>
    </row>
    <row r="23" spans="1:12" x14ac:dyDescent="0.25">
      <c r="A23" s="158" t="s">
        <v>747</v>
      </c>
      <c r="B23" s="169" t="s">
        <v>272</v>
      </c>
      <c r="C23" s="168" t="s">
        <v>245</v>
      </c>
      <c r="D23" s="172">
        <v>2525832994</v>
      </c>
      <c r="E23" s="171">
        <v>297852686</v>
      </c>
      <c r="F23" s="169" t="s">
        <v>256</v>
      </c>
      <c r="G23" s="165">
        <v>40432</v>
      </c>
      <c r="H23" s="51">
        <f t="shared" ca="1" si="0"/>
        <v>6</v>
      </c>
      <c r="I23" s="164" t="str">
        <f t="shared" si="1"/>
        <v>September</v>
      </c>
      <c r="J23" s="52" t="s">
        <v>276</v>
      </c>
      <c r="K23" s="53">
        <v>69948</v>
      </c>
      <c r="L23" s="163">
        <v>5</v>
      </c>
    </row>
    <row r="24" spans="1:12" x14ac:dyDescent="0.25">
      <c r="A24" s="158" t="s">
        <v>858</v>
      </c>
      <c r="B24" s="158" t="s">
        <v>296</v>
      </c>
      <c r="C24" s="168" t="s">
        <v>245</v>
      </c>
      <c r="D24" s="167">
        <v>2524383168</v>
      </c>
      <c r="E24" s="166">
        <v>963028490</v>
      </c>
      <c r="F24" s="158" t="s">
        <v>256</v>
      </c>
      <c r="G24" s="165">
        <v>34279</v>
      </c>
      <c r="H24" s="51">
        <f t="shared" ca="1" si="0"/>
        <v>23</v>
      </c>
      <c r="I24" s="164" t="str">
        <f t="shared" si="1"/>
        <v>November</v>
      </c>
      <c r="J24" s="52" t="s">
        <v>262</v>
      </c>
      <c r="K24" s="53">
        <v>49620</v>
      </c>
      <c r="L24" s="163">
        <v>2</v>
      </c>
    </row>
    <row r="25" spans="1:12" x14ac:dyDescent="0.25">
      <c r="A25" s="158" t="s">
        <v>959</v>
      </c>
      <c r="B25" s="158" t="s">
        <v>296</v>
      </c>
      <c r="C25" s="168" t="s">
        <v>285</v>
      </c>
      <c r="D25" s="167">
        <v>9195882405</v>
      </c>
      <c r="E25" s="166">
        <v>237359447</v>
      </c>
      <c r="F25" s="158" t="s">
        <v>256</v>
      </c>
      <c r="G25" s="165">
        <v>35029</v>
      </c>
      <c r="H25" s="51">
        <f t="shared" ca="1" si="0"/>
        <v>20</v>
      </c>
      <c r="I25" s="164" t="str">
        <f t="shared" si="1"/>
        <v>November</v>
      </c>
      <c r="J25" s="52" t="s">
        <v>257</v>
      </c>
      <c r="K25" s="53">
        <v>88128</v>
      </c>
      <c r="L25" s="163">
        <v>1</v>
      </c>
    </row>
    <row r="26" spans="1:12" x14ac:dyDescent="0.25">
      <c r="A26" s="158" t="s">
        <v>620</v>
      </c>
      <c r="B26" s="158" t="s">
        <v>296</v>
      </c>
      <c r="C26" s="168" t="s">
        <v>285</v>
      </c>
      <c r="D26" s="167">
        <v>9192572783</v>
      </c>
      <c r="E26" s="166">
        <v>533976888</v>
      </c>
      <c r="F26" s="158" t="s">
        <v>256</v>
      </c>
      <c r="G26" s="165">
        <v>36942</v>
      </c>
      <c r="H26" s="51">
        <f t="shared" ca="1" si="0"/>
        <v>15</v>
      </c>
      <c r="I26" s="164" t="str">
        <f t="shared" si="1"/>
        <v>February</v>
      </c>
      <c r="J26" s="52" t="s">
        <v>276</v>
      </c>
      <c r="K26" s="53">
        <v>57420</v>
      </c>
      <c r="L26" s="163">
        <v>1</v>
      </c>
    </row>
    <row r="27" spans="1:12" x14ac:dyDescent="0.25">
      <c r="A27" s="158" t="s">
        <v>385</v>
      </c>
      <c r="B27" s="158" t="s">
        <v>296</v>
      </c>
      <c r="C27" s="168" t="s">
        <v>245</v>
      </c>
      <c r="D27" s="167">
        <v>9196699611</v>
      </c>
      <c r="E27" s="166">
        <v>278431222</v>
      </c>
      <c r="F27" s="158" t="s">
        <v>256</v>
      </c>
      <c r="G27" s="165">
        <v>37621</v>
      </c>
      <c r="H27" s="51">
        <f t="shared" ca="1" si="0"/>
        <v>13</v>
      </c>
      <c r="I27" s="164" t="str">
        <f t="shared" si="1"/>
        <v>December</v>
      </c>
      <c r="J27" s="52" t="s">
        <v>283</v>
      </c>
      <c r="K27" s="53">
        <v>40368</v>
      </c>
      <c r="L27" s="163">
        <v>3</v>
      </c>
    </row>
    <row r="28" spans="1:12" x14ac:dyDescent="0.25">
      <c r="A28" s="158" t="s">
        <v>972</v>
      </c>
      <c r="B28" s="158" t="s">
        <v>296</v>
      </c>
      <c r="C28" s="168" t="s">
        <v>245</v>
      </c>
      <c r="D28" s="167">
        <v>9196822349</v>
      </c>
      <c r="E28" s="166">
        <v>460412180</v>
      </c>
      <c r="F28" s="158" t="s">
        <v>256</v>
      </c>
      <c r="G28" s="165">
        <v>40834</v>
      </c>
      <c r="H28" s="51">
        <f t="shared" ca="1" si="0"/>
        <v>5</v>
      </c>
      <c r="I28" s="164" t="str">
        <f t="shared" si="1"/>
        <v>October</v>
      </c>
      <c r="J28" s="52" t="s">
        <v>262</v>
      </c>
      <c r="K28" s="53">
        <v>61416</v>
      </c>
      <c r="L28" s="163">
        <v>3</v>
      </c>
    </row>
    <row r="29" spans="1:12" x14ac:dyDescent="0.25">
      <c r="A29" s="158" t="s">
        <v>547</v>
      </c>
      <c r="B29" s="158" t="s">
        <v>296</v>
      </c>
      <c r="C29" s="168" t="s">
        <v>271</v>
      </c>
      <c r="D29" s="167">
        <v>2528304204</v>
      </c>
      <c r="E29" s="166">
        <v>243350742</v>
      </c>
      <c r="F29" s="158" t="s">
        <v>252</v>
      </c>
      <c r="G29" s="165">
        <v>36402</v>
      </c>
      <c r="H29" s="51">
        <f t="shared" ca="1" si="0"/>
        <v>17</v>
      </c>
      <c r="I29" s="164" t="str">
        <f t="shared" si="1"/>
        <v>August</v>
      </c>
      <c r="J29" s="52"/>
      <c r="K29" s="53">
        <v>24034</v>
      </c>
      <c r="L29" s="163">
        <v>4</v>
      </c>
    </row>
    <row r="30" spans="1:12" x14ac:dyDescent="0.25">
      <c r="A30" s="158" t="s">
        <v>343</v>
      </c>
      <c r="B30" s="158" t="s">
        <v>296</v>
      </c>
      <c r="C30" s="168" t="s">
        <v>271</v>
      </c>
      <c r="D30" s="167">
        <v>2521593705</v>
      </c>
      <c r="E30" s="166">
        <v>216607562</v>
      </c>
      <c r="F30" s="158" t="s">
        <v>256</v>
      </c>
      <c r="G30" s="165">
        <v>36187</v>
      </c>
      <c r="H30" s="51">
        <f t="shared" ca="1" si="0"/>
        <v>17</v>
      </c>
      <c r="I30" s="164" t="str">
        <f t="shared" si="1"/>
        <v>January</v>
      </c>
      <c r="J30" s="52" t="s">
        <v>283</v>
      </c>
      <c r="K30" s="53">
        <v>59232</v>
      </c>
      <c r="L30" s="163">
        <v>2</v>
      </c>
    </row>
    <row r="31" spans="1:12" x14ac:dyDescent="0.25">
      <c r="A31" s="158" t="s">
        <v>389</v>
      </c>
      <c r="B31" s="158" t="s">
        <v>296</v>
      </c>
      <c r="C31" s="168" t="s">
        <v>245</v>
      </c>
      <c r="D31" s="167">
        <v>9193539483</v>
      </c>
      <c r="E31" s="166">
        <v>515543972</v>
      </c>
      <c r="F31" s="158" t="s">
        <v>256</v>
      </c>
      <c r="G31" s="165">
        <v>37347</v>
      </c>
      <c r="H31" s="51">
        <f t="shared" ca="1" si="0"/>
        <v>14</v>
      </c>
      <c r="I31" s="164" t="str">
        <f t="shared" si="1"/>
        <v>April</v>
      </c>
      <c r="J31" s="52" t="s">
        <v>267</v>
      </c>
      <c r="K31" s="53">
        <v>67728</v>
      </c>
      <c r="L31" s="163">
        <v>1</v>
      </c>
    </row>
    <row r="32" spans="1:12" x14ac:dyDescent="0.25">
      <c r="A32" s="158" t="s">
        <v>571</v>
      </c>
      <c r="B32" s="158" t="s">
        <v>296</v>
      </c>
      <c r="C32" s="168" t="s">
        <v>251</v>
      </c>
      <c r="D32" s="167">
        <v>2527515181</v>
      </c>
      <c r="E32" s="166">
        <v>764375259</v>
      </c>
      <c r="F32" s="158" t="s">
        <v>256</v>
      </c>
      <c r="G32" s="165">
        <v>38779</v>
      </c>
      <c r="H32" s="51">
        <f t="shared" ca="1" si="0"/>
        <v>10</v>
      </c>
      <c r="I32" s="164" t="str">
        <f t="shared" si="1"/>
        <v>March</v>
      </c>
      <c r="J32" s="52" t="s">
        <v>257</v>
      </c>
      <c r="K32" s="53">
        <v>36420</v>
      </c>
      <c r="L32" s="163">
        <v>1</v>
      </c>
    </row>
    <row r="33" spans="1:12" x14ac:dyDescent="0.25">
      <c r="A33" s="158" t="s">
        <v>843</v>
      </c>
      <c r="B33" s="158" t="s">
        <v>296</v>
      </c>
      <c r="C33" s="168" t="s">
        <v>245</v>
      </c>
      <c r="D33" s="167">
        <v>2525327906</v>
      </c>
      <c r="E33" s="166">
        <v>796079833</v>
      </c>
      <c r="F33" s="158" t="s">
        <v>261</v>
      </c>
      <c r="G33" s="165">
        <v>36292</v>
      </c>
      <c r="H33" s="51">
        <f t="shared" ca="1" si="0"/>
        <v>17</v>
      </c>
      <c r="I33" s="164" t="str">
        <f t="shared" si="1"/>
        <v>May</v>
      </c>
      <c r="J33" s="52" t="s">
        <v>257</v>
      </c>
      <c r="K33" s="53">
        <v>13230</v>
      </c>
      <c r="L33" s="163">
        <v>1</v>
      </c>
    </row>
    <row r="34" spans="1:12" x14ac:dyDescent="0.25">
      <c r="A34" s="158" t="s">
        <v>1006</v>
      </c>
      <c r="B34" s="158" t="s">
        <v>307</v>
      </c>
      <c r="C34" s="168" t="s">
        <v>271</v>
      </c>
      <c r="D34" s="167">
        <v>9198085402</v>
      </c>
      <c r="E34" s="166">
        <v>601942708</v>
      </c>
      <c r="F34" s="158" t="s">
        <v>261</v>
      </c>
      <c r="G34" s="165">
        <v>40880</v>
      </c>
      <c r="H34" s="51">
        <f t="shared" ca="1" si="0"/>
        <v>4</v>
      </c>
      <c r="I34" s="164" t="str">
        <f t="shared" si="1"/>
        <v>December</v>
      </c>
      <c r="J34" s="52" t="s">
        <v>283</v>
      </c>
      <c r="K34" s="53">
        <v>34416</v>
      </c>
      <c r="L34" s="163">
        <v>1</v>
      </c>
    </row>
    <row r="35" spans="1:12" x14ac:dyDescent="0.25">
      <c r="A35" s="158" t="s">
        <v>601</v>
      </c>
      <c r="B35" s="158" t="s">
        <v>307</v>
      </c>
      <c r="C35" s="168" t="s">
        <v>285</v>
      </c>
      <c r="D35" s="167">
        <v>2526169135</v>
      </c>
      <c r="E35" s="166">
        <v>534034571</v>
      </c>
      <c r="F35" s="158" t="s">
        <v>261</v>
      </c>
      <c r="G35" s="165">
        <v>40145</v>
      </c>
      <c r="H35" s="51">
        <f t="shared" ca="1" si="0"/>
        <v>6</v>
      </c>
      <c r="I35" s="164" t="str">
        <f t="shared" si="1"/>
        <v>November</v>
      </c>
      <c r="J35" s="52" t="s">
        <v>267</v>
      </c>
      <c r="K35" s="53">
        <v>55314</v>
      </c>
      <c r="L35" s="163">
        <v>3</v>
      </c>
    </row>
    <row r="36" spans="1:12" x14ac:dyDescent="0.25">
      <c r="A36" s="158" t="s">
        <v>925</v>
      </c>
      <c r="B36" s="158" t="s">
        <v>307</v>
      </c>
      <c r="C36" s="168" t="s">
        <v>285</v>
      </c>
      <c r="D36" s="167">
        <v>9194603155</v>
      </c>
      <c r="E36" s="166">
        <v>682791418</v>
      </c>
      <c r="F36" s="158" t="s">
        <v>256</v>
      </c>
      <c r="G36" s="165">
        <v>34441</v>
      </c>
      <c r="H36" s="51">
        <f t="shared" ca="1" si="0"/>
        <v>22</v>
      </c>
      <c r="I36" s="164" t="str">
        <f t="shared" si="1"/>
        <v>April</v>
      </c>
      <c r="J36" s="52" t="s">
        <v>257</v>
      </c>
      <c r="K36" s="53">
        <v>55464</v>
      </c>
      <c r="L36" s="163">
        <v>3</v>
      </c>
    </row>
    <row r="37" spans="1:12" x14ac:dyDescent="0.25">
      <c r="A37" s="158" t="s">
        <v>850</v>
      </c>
      <c r="B37" s="158" t="s">
        <v>307</v>
      </c>
      <c r="C37" s="168" t="s">
        <v>280</v>
      </c>
      <c r="D37" s="167">
        <v>2528006736</v>
      </c>
      <c r="E37" s="166">
        <v>529609767</v>
      </c>
      <c r="F37" s="158" t="s">
        <v>247</v>
      </c>
      <c r="G37" s="165">
        <v>36123</v>
      </c>
      <c r="H37" s="51">
        <f t="shared" ca="1" si="0"/>
        <v>17</v>
      </c>
      <c r="I37" s="164" t="str">
        <f t="shared" si="1"/>
        <v>November</v>
      </c>
      <c r="J37" s="52"/>
      <c r="K37" s="53">
        <v>69756</v>
      </c>
      <c r="L37" s="163">
        <v>2</v>
      </c>
    </row>
    <row r="38" spans="1:12" x14ac:dyDescent="0.25">
      <c r="A38" s="158" t="s">
        <v>770</v>
      </c>
      <c r="B38" s="158" t="s">
        <v>312</v>
      </c>
      <c r="C38" s="168" t="s">
        <v>271</v>
      </c>
      <c r="D38" s="167">
        <v>2526101454</v>
      </c>
      <c r="E38" s="166">
        <v>627678686</v>
      </c>
      <c r="F38" s="158" t="s">
        <v>247</v>
      </c>
      <c r="G38" s="165">
        <v>36233</v>
      </c>
      <c r="H38" s="51">
        <f t="shared" ca="1" si="0"/>
        <v>17</v>
      </c>
      <c r="I38" s="164" t="str">
        <f t="shared" si="1"/>
        <v>March</v>
      </c>
      <c r="J38" s="52"/>
      <c r="K38" s="53">
        <v>89688</v>
      </c>
      <c r="L38" s="163">
        <v>5</v>
      </c>
    </row>
    <row r="39" spans="1:12" x14ac:dyDescent="0.25">
      <c r="A39" s="158" t="s">
        <v>861</v>
      </c>
      <c r="B39" s="158" t="s">
        <v>312</v>
      </c>
      <c r="C39" s="168" t="s">
        <v>251</v>
      </c>
      <c r="D39" s="167">
        <v>9195511103</v>
      </c>
      <c r="E39" s="166">
        <v>877122222</v>
      </c>
      <c r="F39" s="158" t="s">
        <v>256</v>
      </c>
      <c r="G39" s="165">
        <v>41303</v>
      </c>
      <c r="H39" s="51">
        <f t="shared" ca="1" si="0"/>
        <v>3</v>
      </c>
      <c r="I39" s="164" t="str">
        <f t="shared" si="1"/>
        <v>January</v>
      </c>
      <c r="J39" s="52" t="s">
        <v>276</v>
      </c>
      <c r="K39" s="53">
        <v>89652</v>
      </c>
      <c r="L39" s="163">
        <v>2</v>
      </c>
    </row>
    <row r="40" spans="1:12" x14ac:dyDescent="0.25">
      <c r="A40" s="158" t="s">
        <v>931</v>
      </c>
      <c r="B40" s="158" t="s">
        <v>312</v>
      </c>
      <c r="C40" s="168" t="s">
        <v>266</v>
      </c>
      <c r="D40" s="167">
        <v>2522339143</v>
      </c>
      <c r="E40" s="166">
        <v>964243524</v>
      </c>
      <c r="F40" s="158" t="s">
        <v>256</v>
      </c>
      <c r="G40" s="165">
        <v>35724</v>
      </c>
      <c r="H40" s="51">
        <f t="shared" ca="1" si="0"/>
        <v>19</v>
      </c>
      <c r="I40" s="164" t="str">
        <f t="shared" si="1"/>
        <v>October</v>
      </c>
      <c r="J40" s="52" t="s">
        <v>257</v>
      </c>
      <c r="K40" s="53">
        <v>81468</v>
      </c>
      <c r="L40" s="163">
        <v>5</v>
      </c>
    </row>
    <row r="41" spans="1:12" x14ac:dyDescent="0.25">
      <c r="A41" s="158" t="s">
        <v>471</v>
      </c>
      <c r="B41" s="158" t="s">
        <v>312</v>
      </c>
      <c r="C41" s="168" t="s">
        <v>251</v>
      </c>
      <c r="D41" s="167">
        <v>2523542524</v>
      </c>
      <c r="E41" s="166">
        <v>344090854</v>
      </c>
      <c r="F41" s="158" t="s">
        <v>256</v>
      </c>
      <c r="G41" s="165">
        <v>35925</v>
      </c>
      <c r="H41" s="51">
        <f t="shared" ca="1" si="0"/>
        <v>18</v>
      </c>
      <c r="I41" s="164" t="str">
        <f t="shared" si="1"/>
        <v>May</v>
      </c>
      <c r="J41" s="52" t="s">
        <v>276</v>
      </c>
      <c r="K41" s="53">
        <v>98544</v>
      </c>
      <c r="L41" s="163">
        <v>5</v>
      </c>
    </row>
    <row r="42" spans="1:12" x14ac:dyDescent="0.25">
      <c r="A42" s="158" t="s">
        <v>311</v>
      </c>
      <c r="B42" s="158" t="s">
        <v>312</v>
      </c>
      <c r="C42" s="168" t="s">
        <v>245</v>
      </c>
      <c r="D42" s="167">
        <v>9196299247</v>
      </c>
      <c r="E42" s="166">
        <v>126492342</v>
      </c>
      <c r="F42" s="158" t="s">
        <v>252</v>
      </c>
      <c r="G42" s="165">
        <v>36787</v>
      </c>
      <c r="H42" s="51">
        <f t="shared" ca="1" si="0"/>
        <v>16</v>
      </c>
      <c r="I42" s="164" t="str">
        <f t="shared" si="1"/>
        <v>September</v>
      </c>
      <c r="J42" s="52"/>
      <c r="K42" s="53">
        <v>22200</v>
      </c>
      <c r="L42" s="163">
        <v>5</v>
      </c>
    </row>
    <row r="43" spans="1:12" x14ac:dyDescent="0.25">
      <c r="A43" s="158" t="s">
        <v>864</v>
      </c>
      <c r="B43" s="158" t="s">
        <v>312</v>
      </c>
      <c r="C43" s="168" t="s">
        <v>285</v>
      </c>
      <c r="D43" s="167">
        <v>2523962015</v>
      </c>
      <c r="E43" s="166">
        <v>496260023</v>
      </c>
      <c r="F43" s="158" t="s">
        <v>256</v>
      </c>
      <c r="G43" s="165">
        <v>35202</v>
      </c>
      <c r="H43" s="51">
        <f t="shared" ca="1" si="0"/>
        <v>20</v>
      </c>
      <c r="I43" s="164" t="str">
        <f t="shared" si="1"/>
        <v>May</v>
      </c>
      <c r="J43" s="52" t="s">
        <v>262</v>
      </c>
      <c r="K43" s="53">
        <v>89604</v>
      </c>
      <c r="L43" s="163">
        <v>5</v>
      </c>
    </row>
    <row r="44" spans="1:12" x14ac:dyDescent="0.25">
      <c r="A44" s="158" t="s">
        <v>866</v>
      </c>
      <c r="B44" s="158" t="s">
        <v>312</v>
      </c>
      <c r="C44" s="168" t="s">
        <v>245</v>
      </c>
      <c r="D44" s="167">
        <v>2524588703</v>
      </c>
      <c r="E44" s="166">
        <v>787156286</v>
      </c>
      <c r="F44" s="158" t="s">
        <v>256</v>
      </c>
      <c r="G44" s="165">
        <v>34076</v>
      </c>
      <c r="H44" s="51">
        <f t="shared" ca="1" si="0"/>
        <v>23</v>
      </c>
      <c r="I44" s="164" t="str">
        <f t="shared" si="1"/>
        <v>April</v>
      </c>
      <c r="J44" s="52" t="s">
        <v>276</v>
      </c>
      <c r="K44" s="53">
        <v>59772</v>
      </c>
      <c r="L44" s="163">
        <v>2</v>
      </c>
    </row>
    <row r="45" spans="1:12" x14ac:dyDescent="0.25">
      <c r="A45" s="158" t="s">
        <v>630</v>
      </c>
      <c r="B45" s="158" t="s">
        <v>312</v>
      </c>
      <c r="C45" s="168" t="s">
        <v>271</v>
      </c>
      <c r="D45" s="167">
        <v>2524734960</v>
      </c>
      <c r="E45" s="166">
        <v>148899089</v>
      </c>
      <c r="F45" s="158" t="s">
        <v>261</v>
      </c>
      <c r="G45" s="165">
        <v>34894</v>
      </c>
      <c r="H45" s="51">
        <f t="shared" ca="1" si="0"/>
        <v>21</v>
      </c>
      <c r="I45" s="164" t="str">
        <f t="shared" si="1"/>
        <v>July</v>
      </c>
      <c r="J45" s="52" t="s">
        <v>257</v>
      </c>
      <c r="K45" s="53">
        <v>32268</v>
      </c>
      <c r="L45" s="163">
        <v>3</v>
      </c>
    </row>
    <row r="46" spans="1:12" x14ac:dyDescent="0.25">
      <c r="A46" s="158" t="s">
        <v>682</v>
      </c>
      <c r="B46" s="158" t="s">
        <v>312</v>
      </c>
      <c r="C46" s="168" t="s">
        <v>271</v>
      </c>
      <c r="D46" s="167">
        <v>2524077699</v>
      </c>
      <c r="E46" s="166">
        <v>436693732</v>
      </c>
      <c r="F46" s="158" t="s">
        <v>256</v>
      </c>
      <c r="G46" s="165">
        <v>37904</v>
      </c>
      <c r="H46" s="51">
        <f t="shared" ca="1" si="0"/>
        <v>13</v>
      </c>
      <c r="I46" s="164" t="str">
        <f t="shared" si="1"/>
        <v>October</v>
      </c>
      <c r="J46" s="52" t="s">
        <v>267</v>
      </c>
      <c r="K46" s="53">
        <v>75348</v>
      </c>
      <c r="L46" s="163">
        <v>2</v>
      </c>
    </row>
    <row r="47" spans="1:12" x14ac:dyDescent="0.25">
      <c r="A47" s="169" t="s">
        <v>275</v>
      </c>
      <c r="B47" s="158" t="s">
        <v>312</v>
      </c>
      <c r="C47" s="168" t="s">
        <v>280</v>
      </c>
      <c r="D47" s="167">
        <v>2522005810</v>
      </c>
      <c r="E47" s="166">
        <v>163292583</v>
      </c>
      <c r="F47" s="158" t="s">
        <v>247</v>
      </c>
      <c r="G47" s="165">
        <v>36766</v>
      </c>
      <c r="H47" s="51">
        <f t="shared" ca="1" si="0"/>
        <v>16</v>
      </c>
      <c r="I47" s="164" t="str">
        <f t="shared" si="1"/>
        <v>August</v>
      </c>
      <c r="J47" s="52"/>
      <c r="K47" s="53">
        <v>36408</v>
      </c>
      <c r="L47" s="163">
        <v>3</v>
      </c>
    </row>
    <row r="48" spans="1:12" x14ac:dyDescent="0.25">
      <c r="A48" s="158" t="s">
        <v>779</v>
      </c>
      <c r="B48" s="158" t="s">
        <v>312</v>
      </c>
      <c r="C48" s="168" t="s">
        <v>285</v>
      </c>
      <c r="D48" s="167">
        <v>2521391475</v>
      </c>
      <c r="E48" s="166">
        <v>129397083</v>
      </c>
      <c r="F48" s="158" t="s">
        <v>256</v>
      </c>
      <c r="G48" s="165">
        <v>41324</v>
      </c>
      <c r="H48" s="51">
        <f t="shared" ca="1" si="0"/>
        <v>3</v>
      </c>
      <c r="I48" s="164" t="str">
        <f t="shared" si="1"/>
        <v>February</v>
      </c>
      <c r="J48" s="52" t="s">
        <v>267</v>
      </c>
      <c r="K48" s="53">
        <v>82692</v>
      </c>
      <c r="L48" s="163">
        <v>5</v>
      </c>
    </row>
    <row r="49" spans="1:12" x14ac:dyDescent="0.25">
      <c r="A49" s="158" t="s">
        <v>781</v>
      </c>
      <c r="B49" s="158" t="s">
        <v>312</v>
      </c>
      <c r="C49" s="168" t="s">
        <v>285</v>
      </c>
      <c r="D49" s="167">
        <v>9195993367</v>
      </c>
      <c r="E49" s="166">
        <v>768215237</v>
      </c>
      <c r="F49" s="158" t="s">
        <v>261</v>
      </c>
      <c r="G49" s="165">
        <v>34200</v>
      </c>
      <c r="H49" s="51">
        <f t="shared" ca="1" si="0"/>
        <v>23</v>
      </c>
      <c r="I49" s="164" t="str">
        <f t="shared" si="1"/>
        <v>August</v>
      </c>
      <c r="J49" s="52" t="s">
        <v>262</v>
      </c>
      <c r="K49" s="53">
        <v>16560</v>
      </c>
      <c r="L49" s="163">
        <v>3</v>
      </c>
    </row>
    <row r="50" spans="1:12" x14ac:dyDescent="0.25">
      <c r="A50" s="158" t="s">
        <v>619</v>
      </c>
      <c r="B50" s="158" t="s">
        <v>312</v>
      </c>
      <c r="C50" s="168" t="s">
        <v>245</v>
      </c>
      <c r="D50" s="167">
        <v>2522511732</v>
      </c>
      <c r="E50" s="166">
        <v>841913875</v>
      </c>
      <c r="F50" s="158" t="s">
        <v>247</v>
      </c>
      <c r="G50" s="165">
        <v>35888</v>
      </c>
      <c r="H50" s="51">
        <f t="shared" ca="1" si="0"/>
        <v>18</v>
      </c>
      <c r="I50" s="164" t="str">
        <f t="shared" si="1"/>
        <v>April</v>
      </c>
      <c r="J50" s="52"/>
      <c r="K50" s="53">
        <v>60660</v>
      </c>
      <c r="L50" s="163">
        <v>2</v>
      </c>
    </row>
    <row r="51" spans="1:12" x14ac:dyDescent="0.25">
      <c r="A51" s="158" t="s">
        <v>939</v>
      </c>
      <c r="B51" s="158" t="s">
        <v>312</v>
      </c>
      <c r="C51" s="168" t="s">
        <v>266</v>
      </c>
      <c r="D51" s="167">
        <v>9193825834</v>
      </c>
      <c r="E51" s="166">
        <v>267218084</v>
      </c>
      <c r="F51" s="158" t="s">
        <v>247</v>
      </c>
      <c r="G51" s="165">
        <v>36668</v>
      </c>
      <c r="H51" s="51">
        <f t="shared" ca="1" si="0"/>
        <v>16</v>
      </c>
      <c r="I51" s="164" t="str">
        <f t="shared" si="1"/>
        <v>May</v>
      </c>
      <c r="J51" s="52"/>
      <c r="K51" s="53">
        <v>105600</v>
      </c>
      <c r="L51" s="163">
        <v>5</v>
      </c>
    </row>
    <row r="52" spans="1:12" x14ac:dyDescent="0.25">
      <c r="A52" s="158" t="s">
        <v>309</v>
      </c>
      <c r="B52" s="158" t="s">
        <v>312</v>
      </c>
      <c r="C52" s="168" t="s">
        <v>285</v>
      </c>
      <c r="D52" s="167">
        <v>2526168483</v>
      </c>
      <c r="E52" s="166">
        <v>856215418</v>
      </c>
      <c r="F52" s="158" t="s">
        <v>252</v>
      </c>
      <c r="G52" s="165">
        <v>37330</v>
      </c>
      <c r="H52" s="51">
        <f t="shared" ca="1" si="0"/>
        <v>14</v>
      </c>
      <c r="I52" s="164" t="str">
        <f t="shared" si="1"/>
        <v>March</v>
      </c>
      <c r="J52" s="52"/>
      <c r="K52" s="53">
        <v>36096</v>
      </c>
      <c r="L52" s="163">
        <v>3</v>
      </c>
    </row>
    <row r="53" spans="1:12" x14ac:dyDescent="0.25">
      <c r="A53" s="158" t="s">
        <v>870</v>
      </c>
      <c r="B53" s="158" t="s">
        <v>312</v>
      </c>
      <c r="C53" s="168" t="s">
        <v>271</v>
      </c>
      <c r="D53" s="167">
        <v>2527491979</v>
      </c>
      <c r="E53" s="166">
        <v>631405285</v>
      </c>
      <c r="F53" s="158" t="s">
        <v>256</v>
      </c>
      <c r="G53" s="165">
        <v>34255</v>
      </c>
      <c r="H53" s="51">
        <f t="shared" ca="1" si="0"/>
        <v>23</v>
      </c>
      <c r="I53" s="164" t="str">
        <f t="shared" si="1"/>
        <v>October</v>
      </c>
      <c r="J53" s="52" t="s">
        <v>283</v>
      </c>
      <c r="K53" s="53">
        <v>103104</v>
      </c>
      <c r="L53" s="163">
        <v>4</v>
      </c>
    </row>
    <row r="54" spans="1:12" x14ac:dyDescent="0.25">
      <c r="A54" s="158" t="s">
        <v>371</v>
      </c>
      <c r="B54" s="158" t="s">
        <v>312</v>
      </c>
      <c r="C54" s="168" t="s">
        <v>245</v>
      </c>
      <c r="D54" s="167">
        <v>9197528456</v>
      </c>
      <c r="E54" s="166">
        <v>580960042</v>
      </c>
      <c r="F54" s="158" t="s">
        <v>247</v>
      </c>
      <c r="G54" s="165">
        <v>39768</v>
      </c>
      <c r="H54" s="51">
        <f t="shared" ca="1" si="0"/>
        <v>8</v>
      </c>
      <c r="I54" s="164" t="str">
        <f t="shared" si="1"/>
        <v>November</v>
      </c>
      <c r="J54" s="52"/>
      <c r="K54" s="53">
        <v>74580</v>
      </c>
      <c r="L54" s="163">
        <v>4</v>
      </c>
    </row>
    <row r="55" spans="1:12" x14ac:dyDescent="0.25">
      <c r="A55" s="158" t="s">
        <v>496</v>
      </c>
      <c r="B55" s="158" t="s">
        <v>312</v>
      </c>
      <c r="C55" s="168" t="s">
        <v>285</v>
      </c>
      <c r="D55" s="167">
        <v>2528046670</v>
      </c>
      <c r="E55" s="166">
        <v>164904130</v>
      </c>
      <c r="F55" s="158" t="s">
        <v>247</v>
      </c>
      <c r="G55" s="165">
        <v>36297</v>
      </c>
      <c r="H55" s="51">
        <f t="shared" ca="1" si="0"/>
        <v>17</v>
      </c>
      <c r="I55" s="164" t="str">
        <f t="shared" si="1"/>
        <v>May</v>
      </c>
      <c r="J55" s="52"/>
      <c r="K55" s="53">
        <v>101040</v>
      </c>
      <c r="L55" s="163">
        <v>2</v>
      </c>
    </row>
    <row r="56" spans="1:12" x14ac:dyDescent="0.25">
      <c r="A56" s="158" t="s">
        <v>941</v>
      </c>
      <c r="B56" s="158" t="s">
        <v>312</v>
      </c>
      <c r="C56" s="168" t="s">
        <v>285</v>
      </c>
      <c r="D56" s="167">
        <v>9197713771</v>
      </c>
      <c r="E56" s="166">
        <v>653843221</v>
      </c>
      <c r="F56" s="158" t="s">
        <v>247</v>
      </c>
      <c r="G56" s="165">
        <v>40687</v>
      </c>
      <c r="H56" s="51">
        <f t="shared" ca="1" si="0"/>
        <v>5</v>
      </c>
      <c r="I56" s="164" t="str">
        <f t="shared" si="1"/>
        <v>May</v>
      </c>
      <c r="J56" s="52"/>
      <c r="K56" s="53">
        <v>95352</v>
      </c>
      <c r="L56" s="163">
        <v>5</v>
      </c>
    </row>
    <row r="57" spans="1:12" x14ac:dyDescent="0.25">
      <c r="A57" s="158" t="s">
        <v>319</v>
      </c>
      <c r="B57" s="158" t="s">
        <v>312</v>
      </c>
      <c r="C57" s="168" t="s">
        <v>285</v>
      </c>
      <c r="D57" s="167">
        <v>9193274978</v>
      </c>
      <c r="E57" s="166">
        <v>644862142</v>
      </c>
      <c r="F57" s="158" t="s">
        <v>247</v>
      </c>
      <c r="G57" s="165">
        <v>35379</v>
      </c>
      <c r="H57" s="51">
        <f t="shared" ca="1" si="0"/>
        <v>20</v>
      </c>
      <c r="I57" s="164" t="str">
        <f t="shared" si="1"/>
        <v>November</v>
      </c>
      <c r="J57" s="52"/>
      <c r="K57" s="53">
        <v>56004</v>
      </c>
      <c r="L57" s="163">
        <v>3</v>
      </c>
    </row>
    <row r="58" spans="1:12" x14ac:dyDescent="0.25">
      <c r="A58" s="158" t="s">
        <v>636</v>
      </c>
      <c r="B58" s="158" t="s">
        <v>312</v>
      </c>
      <c r="C58" s="168" t="s">
        <v>285</v>
      </c>
      <c r="D58" s="167">
        <v>2526396432</v>
      </c>
      <c r="E58" s="166">
        <v>667812117</v>
      </c>
      <c r="F58" s="158" t="s">
        <v>256</v>
      </c>
      <c r="G58" s="165">
        <v>34474</v>
      </c>
      <c r="H58" s="51">
        <f t="shared" ca="1" si="0"/>
        <v>22</v>
      </c>
      <c r="I58" s="164" t="str">
        <f t="shared" si="1"/>
        <v>May</v>
      </c>
      <c r="J58" s="52" t="s">
        <v>262</v>
      </c>
      <c r="K58" s="53">
        <v>38196</v>
      </c>
      <c r="L58" s="163">
        <v>3</v>
      </c>
    </row>
    <row r="59" spans="1:12" x14ac:dyDescent="0.25">
      <c r="A59" s="158" t="s">
        <v>877</v>
      </c>
      <c r="B59" s="158" t="s">
        <v>312</v>
      </c>
      <c r="C59" s="168" t="s">
        <v>271</v>
      </c>
      <c r="D59" s="167">
        <v>9192121334</v>
      </c>
      <c r="E59" s="166">
        <v>831188207</v>
      </c>
      <c r="F59" s="158" t="s">
        <v>256</v>
      </c>
      <c r="G59" s="165">
        <v>37969</v>
      </c>
      <c r="H59" s="51">
        <f t="shared" ca="1" si="0"/>
        <v>12</v>
      </c>
      <c r="I59" s="164" t="str">
        <f t="shared" si="1"/>
        <v>December</v>
      </c>
      <c r="J59" s="52" t="s">
        <v>257</v>
      </c>
      <c r="K59" s="53">
        <v>86340</v>
      </c>
      <c r="L59" s="163">
        <v>5</v>
      </c>
    </row>
    <row r="60" spans="1:12" x14ac:dyDescent="0.25">
      <c r="A60" s="158" t="s">
        <v>716</v>
      </c>
      <c r="B60" s="158" t="s">
        <v>312</v>
      </c>
      <c r="C60" s="168" t="s">
        <v>271</v>
      </c>
      <c r="D60" s="167">
        <v>9197692593</v>
      </c>
      <c r="E60" s="166">
        <v>147261161</v>
      </c>
      <c r="F60" s="158" t="s">
        <v>256</v>
      </c>
      <c r="G60" s="165">
        <v>35560</v>
      </c>
      <c r="H60" s="51">
        <f t="shared" ca="1" si="0"/>
        <v>19</v>
      </c>
      <c r="I60" s="164" t="str">
        <f t="shared" si="1"/>
        <v>May</v>
      </c>
      <c r="J60" s="52" t="s">
        <v>257</v>
      </c>
      <c r="K60" s="53">
        <v>38292</v>
      </c>
      <c r="L60" s="163">
        <v>5</v>
      </c>
    </row>
    <row r="61" spans="1:12" x14ac:dyDescent="0.25">
      <c r="A61" s="158" t="s">
        <v>796</v>
      </c>
      <c r="B61" s="158" t="s">
        <v>312</v>
      </c>
      <c r="C61" s="168" t="s">
        <v>285</v>
      </c>
      <c r="D61" s="167">
        <v>9198314799</v>
      </c>
      <c r="E61" s="166">
        <v>333947685</v>
      </c>
      <c r="F61" s="158" t="s">
        <v>256</v>
      </c>
      <c r="G61" s="165">
        <v>38076</v>
      </c>
      <c r="H61" s="51">
        <f t="shared" ca="1" si="0"/>
        <v>12</v>
      </c>
      <c r="I61" s="164" t="str">
        <f t="shared" si="1"/>
        <v>March</v>
      </c>
      <c r="J61" s="52" t="s">
        <v>262</v>
      </c>
      <c r="K61" s="53">
        <v>103056</v>
      </c>
      <c r="L61" s="163">
        <v>3</v>
      </c>
    </row>
    <row r="62" spans="1:12" x14ac:dyDescent="0.25">
      <c r="A62" s="158" t="s">
        <v>797</v>
      </c>
      <c r="B62" s="158" t="s">
        <v>312</v>
      </c>
      <c r="C62" s="168" t="s">
        <v>285</v>
      </c>
      <c r="D62" s="167">
        <v>9191362796</v>
      </c>
      <c r="E62" s="166">
        <v>427811310</v>
      </c>
      <c r="F62" s="158" t="s">
        <v>247</v>
      </c>
      <c r="G62" s="165">
        <v>39635</v>
      </c>
      <c r="H62" s="51">
        <f t="shared" ca="1" si="0"/>
        <v>8</v>
      </c>
      <c r="I62" s="164" t="str">
        <f t="shared" si="1"/>
        <v>July</v>
      </c>
      <c r="J62" s="52"/>
      <c r="K62" s="53">
        <v>107172</v>
      </c>
      <c r="L62" s="163">
        <v>5</v>
      </c>
    </row>
    <row r="63" spans="1:12" x14ac:dyDescent="0.25">
      <c r="A63" s="158" t="s">
        <v>800</v>
      </c>
      <c r="B63" s="158" t="s">
        <v>312</v>
      </c>
      <c r="C63" s="168" t="s">
        <v>245</v>
      </c>
      <c r="D63" s="167">
        <v>9196252690</v>
      </c>
      <c r="E63" s="166">
        <v>415228597</v>
      </c>
      <c r="F63" s="158" t="s">
        <v>256</v>
      </c>
      <c r="G63" s="165">
        <v>36395</v>
      </c>
      <c r="H63" s="51">
        <f t="shared" ca="1" si="0"/>
        <v>17</v>
      </c>
      <c r="I63" s="164" t="str">
        <f t="shared" si="1"/>
        <v>August</v>
      </c>
      <c r="J63" s="52" t="s">
        <v>257</v>
      </c>
      <c r="K63" s="53">
        <v>49104</v>
      </c>
      <c r="L63" s="163">
        <v>4</v>
      </c>
    </row>
    <row r="64" spans="1:12" x14ac:dyDescent="0.25">
      <c r="A64" s="158" t="s">
        <v>522</v>
      </c>
      <c r="B64" s="158" t="s">
        <v>312</v>
      </c>
      <c r="C64" s="168" t="s">
        <v>285</v>
      </c>
      <c r="D64" s="167">
        <v>2528611970</v>
      </c>
      <c r="E64" s="166">
        <v>870106287</v>
      </c>
      <c r="F64" s="158" t="s">
        <v>261</v>
      </c>
      <c r="G64" s="165">
        <v>35276</v>
      </c>
      <c r="H64" s="51">
        <f t="shared" ca="1" si="0"/>
        <v>20</v>
      </c>
      <c r="I64" s="164" t="str">
        <f t="shared" si="1"/>
        <v>July</v>
      </c>
      <c r="J64" s="52" t="s">
        <v>276</v>
      </c>
      <c r="K64" s="53">
        <v>46704</v>
      </c>
      <c r="L64" s="163">
        <v>4</v>
      </c>
    </row>
    <row r="65" spans="1:12" x14ac:dyDescent="0.25">
      <c r="A65" s="158" t="s">
        <v>802</v>
      </c>
      <c r="B65" s="158" t="s">
        <v>312</v>
      </c>
      <c r="C65" s="168" t="s">
        <v>266</v>
      </c>
      <c r="D65" s="167">
        <v>9197280453</v>
      </c>
      <c r="E65" s="166">
        <v>600458368</v>
      </c>
      <c r="F65" s="158" t="s">
        <v>261</v>
      </c>
      <c r="G65" s="165">
        <v>40530</v>
      </c>
      <c r="H65" s="51">
        <f t="shared" ca="1" si="0"/>
        <v>5</v>
      </c>
      <c r="I65" s="164" t="str">
        <f t="shared" si="1"/>
        <v>December</v>
      </c>
      <c r="J65" s="52" t="s">
        <v>276</v>
      </c>
      <c r="K65" s="53">
        <v>27042</v>
      </c>
      <c r="L65" s="163">
        <v>3</v>
      </c>
    </row>
    <row r="66" spans="1:12" x14ac:dyDescent="0.25">
      <c r="A66" s="158" t="s">
        <v>961</v>
      </c>
      <c r="B66" s="158" t="s">
        <v>312</v>
      </c>
      <c r="C66" s="168" t="s">
        <v>245</v>
      </c>
      <c r="D66" s="167">
        <v>2528356334</v>
      </c>
      <c r="E66" s="166">
        <v>721173550</v>
      </c>
      <c r="F66" s="158" t="s">
        <v>256</v>
      </c>
      <c r="G66" s="165">
        <v>34514</v>
      </c>
      <c r="H66" s="51">
        <f t="shared" ref="H66:H129" ca="1" si="2">DATEDIF(G66,TODAY(),"Y")</f>
        <v>22</v>
      </c>
      <c r="I66" s="164" t="str">
        <f t="shared" ref="I66:I129" si="3">CHOOSE(MONTH(G66),"January","February","March","April","May","June","July","August","September","October","November","December")</f>
        <v>June</v>
      </c>
      <c r="J66" s="52" t="s">
        <v>257</v>
      </c>
      <c r="K66" s="53">
        <v>85380</v>
      </c>
      <c r="L66" s="163">
        <v>2</v>
      </c>
    </row>
    <row r="67" spans="1:12" x14ac:dyDescent="0.25">
      <c r="A67" s="158" t="s">
        <v>329</v>
      </c>
      <c r="B67" s="158" t="s">
        <v>312</v>
      </c>
      <c r="C67" s="168" t="s">
        <v>245</v>
      </c>
      <c r="D67" s="167">
        <v>9194980674</v>
      </c>
      <c r="E67" s="166">
        <v>393393249</v>
      </c>
      <c r="F67" s="158" t="s">
        <v>247</v>
      </c>
      <c r="G67" s="165">
        <v>37198</v>
      </c>
      <c r="H67" s="51">
        <f t="shared" ca="1" si="2"/>
        <v>15</v>
      </c>
      <c r="I67" s="164" t="str">
        <f t="shared" si="3"/>
        <v>November</v>
      </c>
      <c r="J67" s="52"/>
      <c r="K67" s="53">
        <v>28272</v>
      </c>
      <c r="L67" s="163">
        <v>3</v>
      </c>
    </row>
    <row r="68" spans="1:12" x14ac:dyDescent="0.25">
      <c r="A68" s="158" t="s">
        <v>963</v>
      </c>
      <c r="B68" s="158" t="s">
        <v>312</v>
      </c>
      <c r="C68" s="168" t="s">
        <v>251</v>
      </c>
      <c r="D68" s="167">
        <v>9192400511</v>
      </c>
      <c r="E68" s="166">
        <v>403504590</v>
      </c>
      <c r="F68" s="158" t="s">
        <v>247</v>
      </c>
      <c r="G68" s="165">
        <v>34406</v>
      </c>
      <c r="H68" s="51">
        <f t="shared" ca="1" si="2"/>
        <v>22</v>
      </c>
      <c r="I68" s="164" t="str">
        <f t="shared" si="3"/>
        <v>March</v>
      </c>
      <c r="J68" s="52"/>
      <c r="K68" s="53">
        <v>77352</v>
      </c>
      <c r="L68" s="163">
        <v>1</v>
      </c>
    </row>
    <row r="69" spans="1:12" x14ac:dyDescent="0.25">
      <c r="A69" s="158" t="s">
        <v>887</v>
      </c>
      <c r="B69" s="158" t="s">
        <v>312</v>
      </c>
      <c r="C69" s="168" t="s">
        <v>285</v>
      </c>
      <c r="D69" s="167">
        <v>9194629972</v>
      </c>
      <c r="E69" s="166">
        <v>349979288</v>
      </c>
      <c r="F69" s="158" t="s">
        <v>256</v>
      </c>
      <c r="G69" s="165">
        <v>37746</v>
      </c>
      <c r="H69" s="51">
        <f t="shared" ca="1" si="2"/>
        <v>13</v>
      </c>
      <c r="I69" s="164" t="str">
        <f t="shared" si="3"/>
        <v>May</v>
      </c>
      <c r="J69" s="52" t="s">
        <v>283</v>
      </c>
      <c r="K69" s="53">
        <v>34380</v>
      </c>
      <c r="L69" s="163">
        <v>4</v>
      </c>
    </row>
    <row r="70" spans="1:12" x14ac:dyDescent="0.25">
      <c r="A70" s="158" t="s">
        <v>968</v>
      </c>
      <c r="B70" s="158" t="s">
        <v>312</v>
      </c>
      <c r="C70" s="168" t="s">
        <v>266</v>
      </c>
      <c r="D70" s="167">
        <v>2528317543</v>
      </c>
      <c r="E70" s="166">
        <v>867671341</v>
      </c>
      <c r="F70" s="158" t="s">
        <v>261</v>
      </c>
      <c r="G70" s="165">
        <v>37624</v>
      </c>
      <c r="H70" s="51">
        <f t="shared" ca="1" si="2"/>
        <v>13</v>
      </c>
      <c r="I70" s="164" t="str">
        <f t="shared" si="3"/>
        <v>January</v>
      </c>
      <c r="J70" s="52" t="s">
        <v>257</v>
      </c>
      <c r="K70" s="53">
        <v>42336</v>
      </c>
      <c r="L70" s="163">
        <v>3</v>
      </c>
    </row>
    <row r="71" spans="1:12" x14ac:dyDescent="0.25">
      <c r="A71" s="158" t="s">
        <v>811</v>
      </c>
      <c r="B71" s="158" t="s">
        <v>312</v>
      </c>
      <c r="C71" s="168" t="s">
        <v>271</v>
      </c>
      <c r="D71" s="167">
        <v>9191919478</v>
      </c>
      <c r="E71" s="166">
        <v>639314672</v>
      </c>
      <c r="F71" s="158" t="s">
        <v>261</v>
      </c>
      <c r="G71" s="165">
        <v>36570</v>
      </c>
      <c r="H71" s="51">
        <f t="shared" ca="1" si="2"/>
        <v>16</v>
      </c>
      <c r="I71" s="164" t="str">
        <f t="shared" si="3"/>
        <v>February</v>
      </c>
      <c r="J71" s="52" t="s">
        <v>276</v>
      </c>
      <c r="K71" s="53">
        <v>28056</v>
      </c>
      <c r="L71" s="163">
        <v>4</v>
      </c>
    </row>
    <row r="72" spans="1:12" x14ac:dyDescent="0.25">
      <c r="A72" s="158" t="s">
        <v>647</v>
      </c>
      <c r="B72" s="158" t="s">
        <v>312</v>
      </c>
      <c r="C72" s="168" t="s">
        <v>285</v>
      </c>
      <c r="D72" s="167">
        <v>2524936058</v>
      </c>
      <c r="E72" s="166">
        <v>951516517</v>
      </c>
      <c r="F72" s="158" t="s">
        <v>256</v>
      </c>
      <c r="G72" s="165">
        <v>34623</v>
      </c>
      <c r="H72" s="51">
        <f t="shared" ca="1" si="2"/>
        <v>22</v>
      </c>
      <c r="I72" s="164" t="str">
        <f t="shared" si="3"/>
        <v>October</v>
      </c>
      <c r="J72" s="52" t="s">
        <v>283</v>
      </c>
      <c r="K72" s="53">
        <v>86004</v>
      </c>
      <c r="L72" s="163">
        <v>4</v>
      </c>
    </row>
    <row r="73" spans="1:12" x14ac:dyDescent="0.25">
      <c r="A73" s="158" t="s">
        <v>893</v>
      </c>
      <c r="B73" s="158" t="s">
        <v>312</v>
      </c>
      <c r="C73" s="168" t="s">
        <v>285</v>
      </c>
      <c r="D73" s="167">
        <v>2523883919</v>
      </c>
      <c r="E73" s="166">
        <v>411058865</v>
      </c>
      <c r="F73" s="158" t="s">
        <v>256</v>
      </c>
      <c r="G73" s="165">
        <v>37736</v>
      </c>
      <c r="H73" s="51">
        <f t="shared" ca="1" si="2"/>
        <v>13</v>
      </c>
      <c r="I73" s="164" t="str">
        <f t="shared" si="3"/>
        <v>April</v>
      </c>
      <c r="J73" s="52" t="s">
        <v>257</v>
      </c>
      <c r="K73" s="53">
        <v>32616</v>
      </c>
      <c r="L73" s="163">
        <v>4</v>
      </c>
    </row>
    <row r="74" spans="1:12" x14ac:dyDescent="0.25">
      <c r="A74" s="158" t="s">
        <v>651</v>
      </c>
      <c r="B74" s="158" t="s">
        <v>312</v>
      </c>
      <c r="C74" s="168" t="s">
        <v>271</v>
      </c>
      <c r="D74" s="167">
        <v>9192163497</v>
      </c>
      <c r="E74" s="166">
        <v>513140687</v>
      </c>
      <c r="F74" s="158" t="s">
        <v>247</v>
      </c>
      <c r="G74" s="165">
        <v>33956</v>
      </c>
      <c r="H74" s="51">
        <f t="shared" ca="1" si="2"/>
        <v>23</v>
      </c>
      <c r="I74" s="164" t="str">
        <f t="shared" si="3"/>
        <v>December</v>
      </c>
      <c r="J74" s="52"/>
      <c r="K74" s="53">
        <v>51528</v>
      </c>
      <c r="L74" s="163">
        <v>1</v>
      </c>
    </row>
    <row r="75" spans="1:12" x14ac:dyDescent="0.25">
      <c r="A75" s="158" t="s">
        <v>729</v>
      </c>
      <c r="B75" s="158" t="s">
        <v>312</v>
      </c>
      <c r="C75" s="168" t="s">
        <v>285</v>
      </c>
      <c r="D75" s="167">
        <v>2525789252</v>
      </c>
      <c r="E75" s="166">
        <v>571120098</v>
      </c>
      <c r="F75" s="158" t="s">
        <v>256</v>
      </c>
      <c r="G75" s="165">
        <v>36557</v>
      </c>
      <c r="H75" s="51">
        <f t="shared" ca="1" si="2"/>
        <v>16</v>
      </c>
      <c r="I75" s="164" t="str">
        <f t="shared" si="3"/>
        <v>February</v>
      </c>
      <c r="J75" s="52" t="s">
        <v>257</v>
      </c>
      <c r="K75" s="53">
        <v>73236</v>
      </c>
      <c r="L75" s="163">
        <v>3</v>
      </c>
    </row>
    <row r="76" spans="1:12" x14ac:dyDescent="0.25">
      <c r="A76" s="158" t="s">
        <v>692</v>
      </c>
      <c r="B76" s="158" t="s">
        <v>312</v>
      </c>
      <c r="C76" s="168" t="s">
        <v>271</v>
      </c>
      <c r="D76" s="167">
        <v>9191259179</v>
      </c>
      <c r="E76" s="166">
        <v>873100939</v>
      </c>
      <c r="F76" s="158" t="s">
        <v>256</v>
      </c>
      <c r="G76" s="165">
        <v>40813</v>
      </c>
      <c r="H76" s="51">
        <f t="shared" ca="1" si="2"/>
        <v>5</v>
      </c>
      <c r="I76" s="164" t="str">
        <f t="shared" si="3"/>
        <v>September</v>
      </c>
      <c r="J76" s="52" t="s">
        <v>257</v>
      </c>
      <c r="K76" s="53">
        <v>49788</v>
      </c>
      <c r="L76" s="163">
        <v>5</v>
      </c>
    </row>
    <row r="77" spans="1:12" x14ac:dyDescent="0.25">
      <c r="A77" s="158" t="s">
        <v>340</v>
      </c>
      <c r="B77" s="158" t="s">
        <v>312</v>
      </c>
      <c r="C77" s="168" t="s">
        <v>245</v>
      </c>
      <c r="D77" s="167">
        <v>2527682821</v>
      </c>
      <c r="E77" s="166">
        <v>339398339</v>
      </c>
      <c r="F77" s="158" t="s">
        <v>256</v>
      </c>
      <c r="G77" s="165">
        <v>36693</v>
      </c>
      <c r="H77" s="76">
        <f t="shared" ca="1" si="2"/>
        <v>16</v>
      </c>
      <c r="I77" s="164" t="str">
        <f t="shared" si="3"/>
        <v>June</v>
      </c>
      <c r="J77" s="77" t="s">
        <v>267</v>
      </c>
      <c r="K77" s="53">
        <v>41736</v>
      </c>
      <c r="L77" s="163">
        <v>4</v>
      </c>
    </row>
    <row r="78" spans="1:12" x14ac:dyDescent="0.25">
      <c r="A78" s="158" t="s">
        <v>562</v>
      </c>
      <c r="B78" s="158" t="s">
        <v>312</v>
      </c>
      <c r="C78" s="168" t="s">
        <v>285</v>
      </c>
      <c r="D78" s="167">
        <v>9192526124</v>
      </c>
      <c r="E78" s="166">
        <v>905675120</v>
      </c>
      <c r="F78" s="158" t="s">
        <v>256</v>
      </c>
      <c r="G78" s="165">
        <v>35935</v>
      </c>
      <c r="H78" s="51">
        <f t="shared" ca="1" si="2"/>
        <v>18</v>
      </c>
      <c r="I78" s="164" t="str">
        <f t="shared" si="3"/>
        <v>May</v>
      </c>
      <c r="J78" s="52" t="s">
        <v>267</v>
      </c>
      <c r="K78" s="53">
        <v>93096</v>
      </c>
      <c r="L78" s="163">
        <v>3</v>
      </c>
    </row>
    <row r="79" spans="1:12" x14ac:dyDescent="0.25">
      <c r="A79" s="158" t="s">
        <v>993</v>
      </c>
      <c r="B79" s="158" t="s">
        <v>312</v>
      </c>
      <c r="C79" s="168" t="s">
        <v>271</v>
      </c>
      <c r="D79" s="167">
        <v>2526196095</v>
      </c>
      <c r="E79" s="166">
        <v>981106829</v>
      </c>
      <c r="F79" s="158" t="s">
        <v>247</v>
      </c>
      <c r="G79" s="165">
        <v>36576</v>
      </c>
      <c r="H79" s="51">
        <f t="shared" ca="1" si="2"/>
        <v>16</v>
      </c>
      <c r="I79" s="164" t="str">
        <f t="shared" si="3"/>
        <v>February</v>
      </c>
      <c r="J79" s="52"/>
      <c r="K79" s="53">
        <v>102576</v>
      </c>
      <c r="L79" s="163">
        <v>5</v>
      </c>
    </row>
    <row r="80" spans="1:12" x14ac:dyDescent="0.25">
      <c r="A80" s="158" t="s">
        <v>301</v>
      </c>
      <c r="B80" s="158" t="s">
        <v>312</v>
      </c>
      <c r="C80" s="168" t="s">
        <v>271</v>
      </c>
      <c r="D80" s="167">
        <v>2526576057</v>
      </c>
      <c r="E80" s="166">
        <v>242099349</v>
      </c>
      <c r="F80" s="158" t="s">
        <v>256</v>
      </c>
      <c r="G80" s="165">
        <v>41229</v>
      </c>
      <c r="H80" s="51">
        <f t="shared" ca="1" si="2"/>
        <v>4</v>
      </c>
      <c r="I80" s="164" t="str">
        <f t="shared" si="3"/>
        <v>November</v>
      </c>
      <c r="J80" s="52" t="s">
        <v>267</v>
      </c>
      <c r="K80" s="53">
        <v>93384</v>
      </c>
      <c r="L80" s="163">
        <v>3</v>
      </c>
    </row>
    <row r="81" spans="1:12" x14ac:dyDescent="0.25">
      <c r="A81" s="158" t="s">
        <v>734</v>
      </c>
      <c r="B81" s="158" t="s">
        <v>312</v>
      </c>
      <c r="C81" s="168" t="s">
        <v>245</v>
      </c>
      <c r="D81" s="167">
        <v>9192224790</v>
      </c>
      <c r="E81" s="166">
        <v>733413074</v>
      </c>
      <c r="F81" s="158" t="s">
        <v>247</v>
      </c>
      <c r="G81" s="165">
        <v>39698</v>
      </c>
      <c r="H81" s="51">
        <f t="shared" ca="1" si="2"/>
        <v>8</v>
      </c>
      <c r="I81" s="164" t="str">
        <f t="shared" si="3"/>
        <v>September</v>
      </c>
      <c r="J81" s="52"/>
      <c r="K81" s="53">
        <v>99684</v>
      </c>
      <c r="L81" s="163">
        <v>3</v>
      </c>
    </row>
    <row r="82" spans="1:12" x14ac:dyDescent="0.25">
      <c r="A82" s="158" t="s">
        <v>404</v>
      </c>
      <c r="B82" s="158" t="s">
        <v>312</v>
      </c>
      <c r="C82" s="168" t="s">
        <v>271</v>
      </c>
      <c r="D82" s="167">
        <v>9191629556</v>
      </c>
      <c r="E82" s="166">
        <v>504735443</v>
      </c>
      <c r="F82" s="158" t="s">
        <v>247</v>
      </c>
      <c r="G82" s="165">
        <v>36630</v>
      </c>
      <c r="H82" s="51">
        <f t="shared" ca="1" si="2"/>
        <v>16</v>
      </c>
      <c r="I82" s="164" t="str">
        <f t="shared" si="3"/>
        <v>April</v>
      </c>
      <c r="J82" s="52"/>
      <c r="K82" s="53">
        <v>76008</v>
      </c>
      <c r="L82" s="163">
        <v>3</v>
      </c>
    </row>
    <row r="83" spans="1:12" x14ac:dyDescent="0.25">
      <c r="A83" s="158" t="s">
        <v>910</v>
      </c>
      <c r="B83" s="158" t="s">
        <v>312</v>
      </c>
      <c r="C83" s="168" t="s">
        <v>285</v>
      </c>
      <c r="D83" s="167">
        <v>2525165289</v>
      </c>
      <c r="E83" s="166">
        <v>334574480</v>
      </c>
      <c r="F83" s="158" t="s">
        <v>256</v>
      </c>
      <c r="G83" s="165">
        <v>37234</v>
      </c>
      <c r="H83" s="51">
        <f t="shared" ca="1" si="2"/>
        <v>14</v>
      </c>
      <c r="I83" s="164" t="str">
        <f t="shared" si="3"/>
        <v>December</v>
      </c>
      <c r="J83" s="52" t="s">
        <v>283</v>
      </c>
      <c r="K83" s="53">
        <v>38520</v>
      </c>
      <c r="L83" s="163">
        <v>1</v>
      </c>
    </row>
    <row r="84" spans="1:12" x14ac:dyDescent="0.25">
      <c r="A84" s="158" t="s">
        <v>577</v>
      </c>
      <c r="B84" s="158" t="s">
        <v>312</v>
      </c>
      <c r="C84" s="168" t="s">
        <v>285</v>
      </c>
      <c r="D84" s="167">
        <v>2523040292</v>
      </c>
      <c r="E84" s="166">
        <v>260815239</v>
      </c>
      <c r="F84" s="158" t="s">
        <v>252</v>
      </c>
      <c r="G84" s="165">
        <v>34348</v>
      </c>
      <c r="H84" s="51">
        <f t="shared" ca="1" si="2"/>
        <v>22</v>
      </c>
      <c r="I84" s="164" t="str">
        <f t="shared" si="3"/>
        <v>January</v>
      </c>
      <c r="J84" s="52"/>
      <c r="K84" s="53">
        <v>17482</v>
      </c>
      <c r="L84" s="163">
        <v>3</v>
      </c>
    </row>
    <row r="85" spans="1:12" x14ac:dyDescent="0.25">
      <c r="A85" s="158" t="s">
        <v>999</v>
      </c>
      <c r="B85" s="158" t="s">
        <v>312</v>
      </c>
      <c r="C85" s="168" t="s">
        <v>245</v>
      </c>
      <c r="D85" s="167">
        <v>2528033253</v>
      </c>
      <c r="E85" s="166">
        <v>936730279</v>
      </c>
      <c r="F85" s="158" t="s">
        <v>261</v>
      </c>
      <c r="G85" s="165">
        <v>36245</v>
      </c>
      <c r="H85" s="51">
        <f t="shared" ca="1" si="2"/>
        <v>17</v>
      </c>
      <c r="I85" s="164" t="str">
        <f t="shared" si="3"/>
        <v>March</v>
      </c>
      <c r="J85" s="52" t="s">
        <v>267</v>
      </c>
      <c r="K85" s="53">
        <v>58098</v>
      </c>
      <c r="L85" s="163">
        <v>4</v>
      </c>
    </row>
    <row r="86" spans="1:12" x14ac:dyDescent="0.25">
      <c r="A86" s="158" t="s">
        <v>589</v>
      </c>
      <c r="B86" s="158" t="s">
        <v>312</v>
      </c>
      <c r="C86" s="168" t="s">
        <v>271</v>
      </c>
      <c r="D86" s="167">
        <v>2524633649</v>
      </c>
      <c r="E86" s="166">
        <v>459522265</v>
      </c>
      <c r="F86" s="158" t="s">
        <v>256</v>
      </c>
      <c r="G86" s="165">
        <v>34303</v>
      </c>
      <c r="H86" s="51">
        <f t="shared" ca="1" si="2"/>
        <v>22</v>
      </c>
      <c r="I86" s="164" t="str">
        <f t="shared" si="3"/>
        <v>November</v>
      </c>
      <c r="J86" s="52" t="s">
        <v>262</v>
      </c>
      <c r="K86" s="53">
        <v>73680</v>
      </c>
      <c r="L86" s="163">
        <v>5</v>
      </c>
    </row>
    <row r="87" spans="1:12" x14ac:dyDescent="0.25">
      <c r="A87" s="158" t="s">
        <v>1008</v>
      </c>
      <c r="B87" s="158" t="s">
        <v>312</v>
      </c>
      <c r="C87" s="168" t="s">
        <v>280</v>
      </c>
      <c r="D87" s="167">
        <v>9196224056</v>
      </c>
      <c r="E87" s="166">
        <v>683222853</v>
      </c>
      <c r="F87" s="158" t="s">
        <v>247</v>
      </c>
      <c r="G87" s="165">
        <v>40650</v>
      </c>
      <c r="H87" s="51">
        <f t="shared" ca="1" si="2"/>
        <v>5</v>
      </c>
      <c r="I87" s="164" t="str">
        <f t="shared" si="3"/>
        <v>April</v>
      </c>
      <c r="J87" s="52"/>
      <c r="K87" s="53">
        <v>30948</v>
      </c>
      <c r="L87" s="163">
        <v>3</v>
      </c>
    </row>
    <row r="88" spans="1:12" x14ac:dyDescent="0.25">
      <c r="A88" s="158" t="s">
        <v>599</v>
      </c>
      <c r="B88" s="158" t="s">
        <v>312</v>
      </c>
      <c r="C88" s="168" t="s">
        <v>245</v>
      </c>
      <c r="D88" s="167">
        <v>9193848677</v>
      </c>
      <c r="E88" s="166">
        <v>474999228</v>
      </c>
      <c r="F88" s="158" t="s">
        <v>247</v>
      </c>
      <c r="G88" s="165">
        <v>36815</v>
      </c>
      <c r="H88" s="51">
        <f t="shared" ca="1" si="2"/>
        <v>16</v>
      </c>
      <c r="I88" s="164" t="str">
        <f t="shared" si="3"/>
        <v>October</v>
      </c>
      <c r="J88" s="52"/>
      <c r="K88" s="53">
        <v>92316</v>
      </c>
      <c r="L88" s="163">
        <v>1</v>
      </c>
    </row>
    <row r="89" spans="1:12" x14ac:dyDescent="0.25">
      <c r="A89" s="158" t="s">
        <v>839</v>
      </c>
      <c r="B89" s="158" t="s">
        <v>312</v>
      </c>
      <c r="C89" s="168" t="s">
        <v>245</v>
      </c>
      <c r="D89" s="167">
        <v>9194416232</v>
      </c>
      <c r="E89" s="166">
        <v>676534152</v>
      </c>
      <c r="F89" s="158" t="s">
        <v>256</v>
      </c>
      <c r="G89" s="165">
        <v>41020</v>
      </c>
      <c r="H89" s="51">
        <f t="shared" ca="1" si="2"/>
        <v>4</v>
      </c>
      <c r="I89" s="164" t="str">
        <f t="shared" si="3"/>
        <v>April</v>
      </c>
      <c r="J89" s="52" t="s">
        <v>257</v>
      </c>
      <c r="K89" s="53">
        <v>27936</v>
      </c>
      <c r="L89" s="163">
        <v>1</v>
      </c>
    </row>
    <row r="90" spans="1:12" x14ac:dyDescent="0.25">
      <c r="A90" s="158" t="s">
        <v>290</v>
      </c>
      <c r="B90" s="158" t="s">
        <v>312</v>
      </c>
      <c r="C90" s="168" t="s">
        <v>280</v>
      </c>
      <c r="D90" s="167">
        <v>2522636516</v>
      </c>
      <c r="E90" s="166">
        <v>247276092</v>
      </c>
      <c r="F90" s="158" t="s">
        <v>247</v>
      </c>
      <c r="G90" s="165">
        <v>35847</v>
      </c>
      <c r="H90" s="51">
        <f t="shared" ca="1" si="2"/>
        <v>18</v>
      </c>
      <c r="I90" s="164" t="str">
        <f t="shared" si="3"/>
        <v>February</v>
      </c>
      <c r="J90" s="52"/>
      <c r="K90" s="53">
        <v>77268</v>
      </c>
      <c r="L90" s="163">
        <v>2</v>
      </c>
    </row>
    <row r="91" spans="1:12" x14ac:dyDescent="0.25">
      <c r="A91" s="158" t="s">
        <v>844</v>
      </c>
      <c r="B91" s="158" t="s">
        <v>312</v>
      </c>
      <c r="C91" s="168" t="s">
        <v>285</v>
      </c>
      <c r="D91" s="167">
        <v>2525777345</v>
      </c>
      <c r="E91" s="166">
        <v>252276921</v>
      </c>
      <c r="F91" s="158" t="s">
        <v>256</v>
      </c>
      <c r="G91" s="165">
        <v>38513</v>
      </c>
      <c r="H91" s="51">
        <f t="shared" ca="1" si="2"/>
        <v>11</v>
      </c>
      <c r="I91" s="164" t="str">
        <f t="shared" si="3"/>
        <v>June</v>
      </c>
      <c r="J91" s="52" t="s">
        <v>283</v>
      </c>
      <c r="K91" s="53">
        <v>104736</v>
      </c>
      <c r="L91" s="163">
        <v>4</v>
      </c>
    </row>
    <row r="92" spans="1:12" x14ac:dyDescent="0.25">
      <c r="A92" s="158" t="s">
        <v>703</v>
      </c>
      <c r="B92" s="158" t="s">
        <v>312</v>
      </c>
      <c r="C92" s="168" t="s">
        <v>271</v>
      </c>
      <c r="D92" s="167">
        <v>2525295649</v>
      </c>
      <c r="E92" s="166">
        <v>923665952</v>
      </c>
      <c r="F92" s="158" t="s">
        <v>256</v>
      </c>
      <c r="G92" s="165">
        <v>35814</v>
      </c>
      <c r="H92" s="51">
        <f t="shared" ca="1" si="2"/>
        <v>18</v>
      </c>
      <c r="I92" s="164" t="str">
        <f t="shared" si="3"/>
        <v>January</v>
      </c>
      <c r="J92" s="52" t="s">
        <v>267</v>
      </c>
      <c r="K92" s="53">
        <v>92820</v>
      </c>
      <c r="L92" s="163">
        <v>5</v>
      </c>
    </row>
    <row r="93" spans="1:12" x14ac:dyDescent="0.25">
      <c r="A93" s="158" t="s">
        <v>611</v>
      </c>
      <c r="B93" s="158" t="s">
        <v>312</v>
      </c>
      <c r="C93" s="168" t="s">
        <v>271</v>
      </c>
      <c r="D93" s="167">
        <v>2526711140</v>
      </c>
      <c r="E93" s="166">
        <v>721169660</v>
      </c>
      <c r="F93" s="158" t="s">
        <v>256</v>
      </c>
      <c r="G93" s="165">
        <v>41002</v>
      </c>
      <c r="H93" s="51">
        <f t="shared" ca="1" si="2"/>
        <v>4</v>
      </c>
      <c r="I93" s="164" t="str">
        <f t="shared" si="3"/>
        <v>April</v>
      </c>
      <c r="J93" s="52" t="s">
        <v>262</v>
      </c>
      <c r="K93" s="53">
        <v>46476</v>
      </c>
      <c r="L93" s="163">
        <v>1</v>
      </c>
    </row>
    <row r="94" spans="1:12" x14ac:dyDescent="0.25">
      <c r="A94" s="158" t="s">
        <v>613</v>
      </c>
      <c r="B94" s="158" t="s">
        <v>312</v>
      </c>
      <c r="C94" s="168" t="s">
        <v>245</v>
      </c>
      <c r="D94" s="167">
        <v>2524125146</v>
      </c>
      <c r="E94" s="166">
        <v>365117800</v>
      </c>
      <c r="F94" s="158" t="s">
        <v>256</v>
      </c>
      <c r="G94" s="165">
        <v>38688</v>
      </c>
      <c r="H94" s="51">
        <f t="shared" ca="1" si="2"/>
        <v>10</v>
      </c>
      <c r="I94" s="164" t="str">
        <f t="shared" si="3"/>
        <v>December</v>
      </c>
      <c r="J94" s="52" t="s">
        <v>257</v>
      </c>
      <c r="K94" s="53">
        <v>80268</v>
      </c>
      <c r="L94" s="163">
        <v>5</v>
      </c>
    </row>
    <row r="95" spans="1:12" x14ac:dyDescent="0.25">
      <c r="A95" s="158" t="s">
        <v>624</v>
      </c>
      <c r="B95" s="158" t="s">
        <v>312</v>
      </c>
      <c r="C95" s="168" t="s">
        <v>245</v>
      </c>
      <c r="D95" s="167">
        <v>2525829090</v>
      </c>
      <c r="E95" s="166">
        <v>648911225</v>
      </c>
      <c r="F95" s="158" t="s">
        <v>247</v>
      </c>
      <c r="G95" s="165">
        <v>34709</v>
      </c>
      <c r="H95" s="51">
        <f t="shared" ca="1" si="2"/>
        <v>21</v>
      </c>
      <c r="I95" s="164" t="str">
        <f t="shared" si="3"/>
        <v>January</v>
      </c>
      <c r="J95" s="52"/>
      <c r="K95" s="53">
        <v>99624</v>
      </c>
      <c r="L95" s="163">
        <v>4</v>
      </c>
    </row>
    <row r="96" spans="1:12" x14ac:dyDescent="0.25">
      <c r="A96" s="158" t="s">
        <v>1023</v>
      </c>
      <c r="B96" s="158" t="s">
        <v>312</v>
      </c>
      <c r="C96" s="168" t="s">
        <v>245</v>
      </c>
      <c r="D96" s="167">
        <v>2524924736</v>
      </c>
      <c r="E96" s="166">
        <v>822974734</v>
      </c>
      <c r="F96" s="158" t="s">
        <v>252</v>
      </c>
      <c r="G96" s="165">
        <v>37215</v>
      </c>
      <c r="H96" s="51">
        <f t="shared" ca="1" si="2"/>
        <v>14</v>
      </c>
      <c r="I96" s="164" t="str">
        <f t="shared" si="3"/>
        <v>November</v>
      </c>
      <c r="J96" s="52"/>
      <c r="K96" s="53">
        <v>39667</v>
      </c>
      <c r="L96" s="163">
        <v>5</v>
      </c>
    </row>
    <row r="97" spans="1:12" x14ac:dyDescent="0.25">
      <c r="A97" s="158" t="s">
        <v>932</v>
      </c>
      <c r="B97" s="158" t="s">
        <v>372</v>
      </c>
      <c r="C97" s="168" t="s">
        <v>285</v>
      </c>
      <c r="D97" s="167">
        <v>9197146686</v>
      </c>
      <c r="E97" s="166">
        <v>495042805</v>
      </c>
      <c r="F97" s="158" t="s">
        <v>247</v>
      </c>
      <c r="G97" s="165">
        <v>40981</v>
      </c>
      <c r="H97" s="51">
        <f t="shared" ca="1" si="2"/>
        <v>4</v>
      </c>
      <c r="I97" s="164" t="str">
        <f t="shared" si="3"/>
        <v>March</v>
      </c>
      <c r="J97" s="52"/>
      <c r="K97" s="53">
        <v>71220</v>
      </c>
      <c r="L97" s="163">
        <v>5</v>
      </c>
    </row>
    <row r="98" spans="1:12" x14ac:dyDescent="0.25">
      <c r="A98" s="158" t="s">
        <v>718</v>
      </c>
      <c r="B98" s="158" t="s">
        <v>372</v>
      </c>
      <c r="C98" s="168" t="s">
        <v>285</v>
      </c>
      <c r="D98" s="167">
        <v>9194125294</v>
      </c>
      <c r="E98" s="166">
        <v>207506781</v>
      </c>
      <c r="F98" s="158" t="s">
        <v>256</v>
      </c>
      <c r="G98" s="165">
        <v>40651</v>
      </c>
      <c r="H98" s="51">
        <f t="shared" ca="1" si="2"/>
        <v>5</v>
      </c>
      <c r="I98" s="164" t="str">
        <f t="shared" si="3"/>
        <v>April</v>
      </c>
      <c r="J98" s="52" t="s">
        <v>257</v>
      </c>
      <c r="K98" s="53">
        <v>91728</v>
      </c>
      <c r="L98" s="163">
        <v>3</v>
      </c>
    </row>
    <row r="99" spans="1:12" x14ac:dyDescent="0.25">
      <c r="A99" s="158" t="s">
        <v>429</v>
      </c>
      <c r="B99" s="158" t="s">
        <v>372</v>
      </c>
      <c r="C99" s="168" t="s">
        <v>285</v>
      </c>
      <c r="D99" s="167">
        <v>2521656242</v>
      </c>
      <c r="E99" s="166">
        <v>272036635</v>
      </c>
      <c r="F99" s="158" t="s">
        <v>256</v>
      </c>
      <c r="G99" s="165">
        <v>38611</v>
      </c>
      <c r="H99" s="51">
        <f t="shared" ca="1" si="2"/>
        <v>11</v>
      </c>
      <c r="I99" s="164" t="str">
        <f t="shared" si="3"/>
        <v>September</v>
      </c>
      <c r="J99" s="52" t="s">
        <v>257</v>
      </c>
      <c r="K99" s="53">
        <v>103836</v>
      </c>
      <c r="L99" s="163">
        <v>1</v>
      </c>
    </row>
    <row r="100" spans="1:12" x14ac:dyDescent="0.25">
      <c r="A100" s="158" t="s">
        <v>817</v>
      </c>
      <c r="B100" s="158" t="s">
        <v>372</v>
      </c>
      <c r="C100" s="168" t="s">
        <v>285</v>
      </c>
      <c r="D100" s="167">
        <v>2523173691</v>
      </c>
      <c r="E100" s="166">
        <v>920505896</v>
      </c>
      <c r="F100" s="158" t="s">
        <v>247</v>
      </c>
      <c r="G100" s="165">
        <v>39483</v>
      </c>
      <c r="H100" s="51">
        <f t="shared" ca="1" si="2"/>
        <v>8</v>
      </c>
      <c r="I100" s="164" t="str">
        <f t="shared" si="3"/>
        <v>February</v>
      </c>
      <c r="J100" s="52"/>
      <c r="K100" s="53">
        <v>94632</v>
      </c>
      <c r="L100" s="163">
        <v>2</v>
      </c>
    </row>
    <row r="101" spans="1:12" x14ac:dyDescent="0.25">
      <c r="A101" s="158" t="s">
        <v>388</v>
      </c>
      <c r="B101" s="158" t="s">
        <v>372</v>
      </c>
      <c r="C101" s="168" t="s">
        <v>251</v>
      </c>
      <c r="D101" s="167">
        <v>2524663056</v>
      </c>
      <c r="E101" s="166">
        <v>640301378</v>
      </c>
      <c r="F101" s="158" t="s">
        <v>261</v>
      </c>
      <c r="G101" s="165">
        <v>41233</v>
      </c>
      <c r="H101" s="51">
        <f t="shared" ca="1" si="2"/>
        <v>3</v>
      </c>
      <c r="I101" s="164" t="str">
        <f t="shared" si="3"/>
        <v>November</v>
      </c>
      <c r="J101" s="52" t="s">
        <v>283</v>
      </c>
      <c r="K101" s="53">
        <v>55476</v>
      </c>
      <c r="L101" s="163">
        <v>2</v>
      </c>
    </row>
    <row r="102" spans="1:12" x14ac:dyDescent="0.25">
      <c r="A102" s="158" t="s">
        <v>563</v>
      </c>
      <c r="B102" s="158" t="s">
        <v>372</v>
      </c>
      <c r="C102" s="168" t="s">
        <v>271</v>
      </c>
      <c r="D102" s="167">
        <v>2527474942</v>
      </c>
      <c r="E102" s="166">
        <v>759350847</v>
      </c>
      <c r="F102" s="158" t="s">
        <v>256</v>
      </c>
      <c r="G102" s="165">
        <v>39125</v>
      </c>
      <c r="H102" s="51">
        <f t="shared" ca="1" si="2"/>
        <v>9</v>
      </c>
      <c r="I102" s="164" t="str">
        <f t="shared" si="3"/>
        <v>February</v>
      </c>
      <c r="J102" s="52" t="s">
        <v>257</v>
      </c>
      <c r="K102" s="53">
        <v>43956</v>
      </c>
      <c r="L102" s="163">
        <v>4</v>
      </c>
    </row>
    <row r="103" spans="1:12" x14ac:dyDescent="0.25">
      <c r="A103" s="158" t="s">
        <v>591</v>
      </c>
      <c r="B103" s="158" t="s">
        <v>372</v>
      </c>
      <c r="C103" s="168" t="s">
        <v>280</v>
      </c>
      <c r="D103" s="167">
        <v>9192824485</v>
      </c>
      <c r="E103" s="166">
        <v>676831149</v>
      </c>
      <c r="F103" s="158" t="s">
        <v>256</v>
      </c>
      <c r="G103" s="165">
        <v>40116</v>
      </c>
      <c r="H103" s="51">
        <f t="shared" ca="1" si="2"/>
        <v>7</v>
      </c>
      <c r="I103" s="164" t="str">
        <f t="shared" si="3"/>
        <v>October</v>
      </c>
      <c r="J103" s="52" t="s">
        <v>257</v>
      </c>
      <c r="K103" s="53">
        <v>85344</v>
      </c>
      <c r="L103" s="163">
        <v>4</v>
      </c>
    </row>
    <row r="104" spans="1:12" x14ac:dyDescent="0.25">
      <c r="A104" s="158" t="s">
        <v>448</v>
      </c>
      <c r="B104" s="158" t="s">
        <v>372</v>
      </c>
      <c r="C104" s="168" t="s">
        <v>271</v>
      </c>
      <c r="D104" s="167">
        <v>9198310129</v>
      </c>
      <c r="E104" s="166">
        <v>106966222</v>
      </c>
      <c r="F104" s="158" t="s">
        <v>247</v>
      </c>
      <c r="G104" s="165">
        <v>40257</v>
      </c>
      <c r="H104" s="51">
        <f t="shared" ca="1" si="2"/>
        <v>6</v>
      </c>
      <c r="I104" s="164" t="str">
        <f t="shared" si="3"/>
        <v>March</v>
      </c>
      <c r="J104" s="52"/>
      <c r="K104" s="53">
        <v>42744</v>
      </c>
      <c r="L104" s="163">
        <v>4</v>
      </c>
    </row>
    <row r="105" spans="1:12" x14ac:dyDescent="0.25">
      <c r="A105" s="158" t="s">
        <v>625</v>
      </c>
      <c r="B105" s="158" t="s">
        <v>381</v>
      </c>
      <c r="C105" s="168" t="s">
        <v>271</v>
      </c>
      <c r="D105" s="167">
        <v>9198824849</v>
      </c>
      <c r="E105" s="166">
        <v>324622113</v>
      </c>
      <c r="F105" s="158" t="s">
        <v>261</v>
      </c>
      <c r="G105" s="165">
        <v>41244</v>
      </c>
      <c r="H105" s="51">
        <f t="shared" ca="1" si="2"/>
        <v>3</v>
      </c>
      <c r="I105" s="164" t="str">
        <f t="shared" si="3"/>
        <v>December</v>
      </c>
      <c r="J105" s="52" t="s">
        <v>283</v>
      </c>
      <c r="K105" s="53">
        <v>34350</v>
      </c>
      <c r="L105" s="163">
        <v>1</v>
      </c>
    </row>
    <row r="106" spans="1:12" x14ac:dyDescent="0.25">
      <c r="A106" s="158" t="s">
        <v>504</v>
      </c>
      <c r="B106" s="158" t="s">
        <v>381</v>
      </c>
      <c r="C106" s="168" t="s">
        <v>271</v>
      </c>
      <c r="D106" s="167">
        <v>2524752921</v>
      </c>
      <c r="E106" s="166">
        <v>925049144</v>
      </c>
      <c r="F106" s="158" t="s">
        <v>256</v>
      </c>
      <c r="G106" s="165">
        <v>36977</v>
      </c>
      <c r="H106" s="51">
        <f t="shared" ca="1" si="2"/>
        <v>15</v>
      </c>
      <c r="I106" s="164" t="str">
        <f t="shared" si="3"/>
        <v>March</v>
      </c>
      <c r="J106" s="52" t="s">
        <v>257</v>
      </c>
      <c r="K106" s="53">
        <v>59832</v>
      </c>
      <c r="L106" s="163">
        <v>2</v>
      </c>
    </row>
    <row r="107" spans="1:12" x14ac:dyDescent="0.25">
      <c r="A107" s="158" t="s">
        <v>808</v>
      </c>
      <c r="B107" s="158" t="s">
        <v>381</v>
      </c>
      <c r="C107" s="168" t="s">
        <v>271</v>
      </c>
      <c r="D107" s="167">
        <v>9193517837</v>
      </c>
      <c r="E107" s="166">
        <v>943671719</v>
      </c>
      <c r="F107" s="158" t="s">
        <v>256</v>
      </c>
      <c r="G107" s="165">
        <v>36177</v>
      </c>
      <c r="H107" s="51">
        <f t="shared" ca="1" si="2"/>
        <v>17</v>
      </c>
      <c r="I107" s="164" t="str">
        <f t="shared" si="3"/>
        <v>January</v>
      </c>
      <c r="J107" s="52" t="s">
        <v>283</v>
      </c>
      <c r="K107" s="53">
        <v>27504</v>
      </c>
      <c r="L107" s="163">
        <v>3</v>
      </c>
    </row>
    <row r="108" spans="1:12" x14ac:dyDescent="0.25">
      <c r="A108" s="158" t="s">
        <v>650</v>
      </c>
      <c r="B108" s="158" t="s">
        <v>381</v>
      </c>
      <c r="C108" s="168" t="s">
        <v>285</v>
      </c>
      <c r="D108" s="167">
        <v>2524747044</v>
      </c>
      <c r="E108" s="166">
        <v>405297884</v>
      </c>
      <c r="F108" s="158" t="s">
        <v>256</v>
      </c>
      <c r="G108" s="165">
        <v>33799</v>
      </c>
      <c r="H108" s="51">
        <f t="shared" ca="1" si="2"/>
        <v>24</v>
      </c>
      <c r="I108" s="164" t="str">
        <f t="shared" si="3"/>
        <v>July</v>
      </c>
      <c r="J108" s="52" t="s">
        <v>283</v>
      </c>
      <c r="K108" s="53">
        <v>82872</v>
      </c>
      <c r="L108" s="163">
        <v>1</v>
      </c>
    </row>
    <row r="109" spans="1:12" x14ac:dyDescent="0.25">
      <c r="A109" s="158" t="s">
        <v>436</v>
      </c>
      <c r="B109" s="158" t="s">
        <v>381</v>
      </c>
      <c r="C109" s="168" t="s">
        <v>280</v>
      </c>
      <c r="D109" s="167">
        <v>2526092172</v>
      </c>
      <c r="E109" s="166">
        <v>313651312</v>
      </c>
      <c r="F109" s="158" t="s">
        <v>256</v>
      </c>
      <c r="G109" s="165">
        <v>36910</v>
      </c>
      <c r="H109" s="51">
        <f t="shared" ca="1" si="2"/>
        <v>15</v>
      </c>
      <c r="I109" s="164" t="str">
        <f t="shared" si="3"/>
        <v>January</v>
      </c>
      <c r="J109" s="52" t="s">
        <v>283</v>
      </c>
      <c r="K109" s="53">
        <v>81960</v>
      </c>
      <c r="L109" s="163">
        <v>5</v>
      </c>
    </row>
    <row r="110" spans="1:12" x14ac:dyDescent="0.25">
      <c r="A110" s="158" t="s">
        <v>572</v>
      </c>
      <c r="B110" s="158" t="s">
        <v>381</v>
      </c>
      <c r="C110" s="168" t="s">
        <v>285</v>
      </c>
      <c r="D110" s="167">
        <v>2527405629</v>
      </c>
      <c r="E110" s="166">
        <v>510190628</v>
      </c>
      <c r="F110" s="158" t="s">
        <v>256</v>
      </c>
      <c r="G110" s="165">
        <v>39875</v>
      </c>
      <c r="H110" s="51">
        <f t="shared" ca="1" si="2"/>
        <v>7</v>
      </c>
      <c r="I110" s="164" t="str">
        <f t="shared" si="3"/>
        <v>March</v>
      </c>
      <c r="J110" s="52" t="s">
        <v>283</v>
      </c>
      <c r="K110" s="53">
        <v>52416</v>
      </c>
      <c r="L110" s="163">
        <v>5</v>
      </c>
    </row>
    <row r="111" spans="1:12" x14ac:dyDescent="0.25">
      <c r="A111" s="158" t="s">
        <v>924</v>
      </c>
      <c r="B111" s="158" t="s">
        <v>381</v>
      </c>
      <c r="C111" s="168" t="s">
        <v>266</v>
      </c>
      <c r="D111" s="167">
        <v>2524106437</v>
      </c>
      <c r="E111" s="166">
        <v>452692136</v>
      </c>
      <c r="F111" s="158" t="s">
        <v>256</v>
      </c>
      <c r="G111" s="165">
        <v>36242</v>
      </c>
      <c r="H111" s="51">
        <f t="shared" ca="1" si="2"/>
        <v>17</v>
      </c>
      <c r="I111" s="164" t="str">
        <f t="shared" si="3"/>
        <v>March</v>
      </c>
      <c r="J111" s="52" t="s">
        <v>267</v>
      </c>
      <c r="K111" s="53">
        <v>31812</v>
      </c>
      <c r="L111" s="163">
        <v>1</v>
      </c>
    </row>
    <row r="112" spans="1:12" x14ac:dyDescent="0.25">
      <c r="A112" s="158" t="s">
        <v>927</v>
      </c>
      <c r="B112" s="158" t="s">
        <v>381</v>
      </c>
      <c r="C112" s="168" t="s">
        <v>285</v>
      </c>
      <c r="D112" s="167">
        <v>9192229885</v>
      </c>
      <c r="E112" s="166">
        <v>124203063</v>
      </c>
      <c r="F112" s="158" t="s">
        <v>261</v>
      </c>
      <c r="G112" s="165">
        <v>41300</v>
      </c>
      <c r="H112" s="51">
        <f t="shared" ca="1" si="2"/>
        <v>3</v>
      </c>
      <c r="I112" s="164" t="str">
        <f t="shared" si="3"/>
        <v>January</v>
      </c>
      <c r="J112" s="52" t="s">
        <v>283</v>
      </c>
      <c r="K112" s="53">
        <v>12624</v>
      </c>
      <c r="L112" s="163">
        <v>4</v>
      </c>
    </row>
    <row r="113" spans="1:12" x14ac:dyDescent="0.25">
      <c r="A113" s="158" t="s">
        <v>370</v>
      </c>
      <c r="B113" s="158" t="s">
        <v>381</v>
      </c>
      <c r="C113" s="168" t="s">
        <v>271</v>
      </c>
      <c r="D113" s="167">
        <v>9194944945</v>
      </c>
      <c r="E113" s="166">
        <v>651995963</v>
      </c>
      <c r="F113" s="158" t="s">
        <v>252</v>
      </c>
      <c r="G113" s="165">
        <v>41041</v>
      </c>
      <c r="H113" s="51">
        <f t="shared" ca="1" si="2"/>
        <v>4</v>
      </c>
      <c r="I113" s="164" t="str">
        <f t="shared" si="3"/>
        <v>May</v>
      </c>
      <c r="J113" s="52"/>
      <c r="K113" s="53">
        <v>32981</v>
      </c>
      <c r="L113" s="163">
        <v>4</v>
      </c>
    </row>
    <row r="114" spans="1:12" x14ac:dyDescent="0.25">
      <c r="A114" s="158" t="s">
        <v>936</v>
      </c>
      <c r="B114" s="158" t="s">
        <v>391</v>
      </c>
      <c r="C114" s="168" t="s">
        <v>271</v>
      </c>
      <c r="D114" s="167">
        <v>2525724528</v>
      </c>
      <c r="E114" s="166">
        <v>907491320</v>
      </c>
      <c r="F114" s="158" t="s">
        <v>261</v>
      </c>
      <c r="G114" s="165">
        <v>37085</v>
      </c>
      <c r="H114" s="51">
        <f t="shared" ca="1" si="2"/>
        <v>15</v>
      </c>
      <c r="I114" s="164" t="str">
        <f t="shared" si="3"/>
        <v>July</v>
      </c>
      <c r="J114" s="52" t="s">
        <v>276</v>
      </c>
      <c r="K114" s="53">
        <v>51486</v>
      </c>
      <c r="L114" s="163">
        <v>1</v>
      </c>
    </row>
    <row r="115" spans="1:12" x14ac:dyDescent="0.25">
      <c r="A115" s="158" t="s">
        <v>314</v>
      </c>
      <c r="B115" s="158" t="s">
        <v>391</v>
      </c>
      <c r="C115" s="168" t="s">
        <v>266</v>
      </c>
      <c r="D115" s="167">
        <v>2523373445</v>
      </c>
      <c r="E115" s="166">
        <v>707882019</v>
      </c>
      <c r="F115" s="158" t="s">
        <v>247</v>
      </c>
      <c r="G115" s="165">
        <v>37070</v>
      </c>
      <c r="H115" s="51">
        <f t="shared" ca="1" si="2"/>
        <v>15</v>
      </c>
      <c r="I115" s="164" t="str">
        <f t="shared" si="3"/>
        <v>June</v>
      </c>
      <c r="J115" s="52"/>
      <c r="K115" s="53">
        <v>104364</v>
      </c>
      <c r="L115" s="163">
        <v>4</v>
      </c>
    </row>
    <row r="116" spans="1:12" x14ac:dyDescent="0.25">
      <c r="A116" s="158" t="s">
        <v>484</v>
      </c>
      <c r="B116" s="158" t="s">
        <v>391</v>
      </c>
      <c r="C116" s="168" t="s">
        <v>271</v>
      </c>
      <c r="D116" s="167">
        <v>2523748373</v>
      </c>
      <c r="E116" s="166">
        <v>863161920</v>
      </c>
      <c r="F116" s="158" t="s">
        <v>256</v>
      </c>
      <c r="G116" s="165">
        <v>36805</v>
      </c>
      <c r="H116" s="51">
        <f t="shared" ca="1" si="2"/>
        <v>16</v>
      </c>
      <c r="I116" s="164" t="str">
        <f t="shared" si="3"/>
        <v>October</v>
      </c>
      <c r="J116" s="52" t="s">
        <v>283</v>
      </c>
      <c r="K116" s="53">
        <v>60132</v>
      </c>
      <c r="L116" s="163">
        <v>1</v>
      </c>
    </row>
    <row r="117" spans="1:12" x14ac:dyDescent="0.25">
      <c r="A117" s="158" t="s">
        <v>871</v>
      </c>
      <c r="B117" s="158" t="s">
        <v>391</v>
      </c>
      <c r="C117" s="168" t="s">
        <v>266</v>
      </c>
      <c r="D117" s="167">
        <v>2528440900</v>
      </c>
      <c r="E117" s="166">
        <v>434927073</v>
      </c>
      <c r="F117" s="158" t="s">
        <v>256</v>
      </c>
      <c r="G117" s="165">
        <v>38340</v>
      </c>
      <c r="H117" s="51">
        <f t="shared" ca="1" si="2"/>
        <v>11</v>
      </c>
      <c r="I117" s="164" t="str">
        <f t="shared" si="3"/>
        <v>December</v>
      </c>
      <c r="J117" s="52" t="s">
        <v>267</v>
      </c>
      <c r="K117" s="53">
        <v>47688</v>
      </c>
      <c r="L117" s="163">
        <v>1</v>
      </c>
    </row>
    <row r="118" spans="1:12" x14ac:dyDescent="0.25">
      <c r="A118" s="169" t="s">
        <v>244</v>
      </c>
      <c r="B118" s="158" t="s">
        <v>391</v>
      </c>
      <c r="C118" s="168" t="s">
        <v>285</v>
      </c>
      <c r="D118" s="167">
        <v>2521282202</v>
      </c>
      <c r="E118" s="166">
        <v>828996583</v>
      </c>
      <c r="F118" s="158" t="s">
        <v>252</v>
      </c>
      <c r="G118" s="165">
        <v>33911</v>
      </c>
      <c r="H118" s="51">
        <f t="shared" ca="1" si="2"/>
        <v>24</v>
      </c>
      <c r="I118" s="164" t="str">
        <f t="shared" si="3"/>
        <v>November</v>
      </c>
      <c r="J118" s="52"/>
      <c r="K118" s="53">
        <v>17654</v>
      </c>
      <c r="L118" s="163">
        <v>5</v>
      </c>
    </row>
    <row r="119" spans="1:12" x14ac:dyDescent="0.25">
      <c r="A119" s="158" t="s">
        <v>458</v>
      </c>
      <c r="B119" s="158" t="s">
        <v>391</v>
      </c>
      <c r="C119" s="168" t="s">
        <v>285</v>
      </c>
      <c r="D119" s="167">
        <v>9193451072</v>
      </c>
      <c r="E119" s="166">
        <v>195245117</v>
      </c>
      <c r="F119" s="158" t="s">
        <v>252</v>
      </c>
      <c r="G119" s="165">
        <v>36401</v>
      </c>
      <c r="H119" s="51">
        <f t="shared" ca="1" si="2"/>
        <v>17</v>
      </c>
      <c r="I119" s="164" t="str">
        <f t="shared" si="3"/>
        <v>August</v>
      </c>
      <c r="J119" s="52"/>
      <c r="K119" s="53">
        <v>15211</v>
      </c>
      <c r="L119" s="163">
        <v>2</v>
      </c>
    </row>
    <row r="120" spans="1:12" x14ac:dyDescent="0.25">
      <c r="A120" s="158" t="s">
        <v>324</v>
      </c>
      <c r="B120" s="158" t="s">
        <v>391</v>
      </c>
      <c r="C120" s="168" t="s">
        <v>271</v>
      </c>
      <c r="D120" s="167">
        <v>2527230063</v>
      </c>
      <c r="E120" s="166">
        <v>526188716</v>
      </c>
      <c r="F120" s="158" t="s">
        <v>247</v>
      </c>
      <c r="G120" s="165">
        <v>36687</v>
      </c>
      <c r="H120" s="51">
        <f t="shared" ca="1" si="2"/>
        <v>16</v>
      </c>
      <c r="I120" s="164" t="str">
        <f t="shared" si="3"/>
        <v>June</v>
      </c>
      <c r="J120" s="52"/>
      <c r="K120" s="53">
        <v>77364</v>
      </c>
      <c r="L120" s="163">
        <v>3</v>
      </c>
    </row>
    <row r="121" spans="1:12" x14ac:dyDescent="0.25">
      <c r="A121" s="158" t="s">
        <v>805</v>
      </c>
      <c r="B121" s="158" t="s">
        <v>391</v>
      </c>
      <c r="C121" s="168" t="s">
        <v>266</v>
      </c>
      <c r="D121" s="167">
        <v>2526742736</v>
      </c>
      <c r="E121" s="166">
        <v>291798311</v>
      </c>
      <c r="F121" s="158" t="s">
        <v>256</v>
      </c>
      <c r="G121" s="165">
        <v>36215</v>
      </c>
      <c r="H121" s="51">
        <f t="shared" ca="1" si="2"/>
        <v>17</v>
      </c>
      <c r="I121" s="164" t="str">
        <f t="shared" si="3"/>
        <v>February</v>
      </c>
      <c r="J121" s="52" t="s">
        <v>257</v>
      </c>
      <c r="K121" s="53">
        <v>96144</v>
      </c>
      <c r="L121" s="163">
        <v>4</v>
      </c>
    </row>
    <row r="122" spans="1:12" x14ac:dyDescent="0.25">
      <c r="A122" s="158" t="s">
        <v>816</v>
      </c>
      <c r="B122" s="158" t="s">
        <v>391</v>
      </c>
      <c r="C122" s="168" t="s">
        <v>245</v>
      </c>
      <c r="D122" s="167">
        <v>9192387348</v>
      </c>
      <c r="E122" s="166">
        <v>681596577</v>
      </c>
      <c r="F122" s="158" t="s">
        <v>247</v>
      </c>
      <c r="G122" s="165">
        <v>35878</v>
      </c>
      <c r="H122" s="51">
        <f t="shared" ca="1" si="2"/>
        <v>18</v>
      </c>
      <c r="I122" s="164" t="str">
        <f t="shared" si="3"/>
        <v>March</v>
      </c>
      <c r="J122" s="52"/>
      <c r="K122" s="53">
        <v>42312</v>
      </c>
      <c r="L122" s="163">
        <v>2</v>
      </c>
    </row>
    <row r="123" spans="1:12" x14ac:dyDescent="0.25">
      <c r="A123" s="158" t="s">
        <v>375</v>
      </c>
      <c r="B123" s="158" t="s">
        <v>391</v>
      </c>
      <c r="C123" s="168" t="s">
        <v>251</v>
      </c>
      <c r="D123" s="167">
        <v>2522715355</v>
      </c>
      <c r="E123" s="166">
        <v>843875501</v>
      </c>
      <c r="F123" s="158" t="s">
        <v>247</v>
      </c>
      <c r="G123" s="165">
        <v>36904</v>
      </c>
      <c r="H123" s="51">
        <f t="shared" ca="1" si="2"/>
        <v>15</v>
      </c>
      <c r="I123" s="164" t="str">
        <f t="shared" si="3"/>
        <v>January</v>
      </c>
      <c r="J123" s="52"/>
      <c r="K123" s="53">
        <v>39528</v>
      </c>
      <c r="L123" s="163">
        <v>5</v>
      </c>
    </row>
    <row r="124" spans="1:12" x14ac:dyDescent="0.25">
      <c r="A124" s="158" t="s">
        <v>539</v>
      </c>
      <c r="B124" s="158" t="s">
        <v>391</v>
      </c>
      <c r="C124" s="168" t="s">
        <v>280</v>
      </c>
      <c r="D124" s="167">
        <v>2528577225</v>
      </c>
      <c r="E124" s="166">
        <v>581823751</v>
      </c>
      <c r="F124" s="158" t="s">
        <v>247</v>
      </c>
      <c r="G124" s="165">
        <v>38395</v>
      </c>
      <c r="H124" s="51">
        <f t="shared" ca="1" si="2"/>
        <v>11</v>
      </c>
      <c r="I124" s="164" t="str">
        <f t="shared" si="3"/>
        <v>February</v>
      </c>
      <c r="J124" s="52"/>
      <c r="K124" s="53">
        <v>88068</v>
      </c>
      <c r="L124" s="163">
        <v>2</v>
      </c>
    </row>
    <row r="125" spans="1:12" x14ac:dyDescent="0.25">
      <c r="A125" s="158" t="s">
        <v>975</v>
      </c>
      <c r="B125" s="158" t="s">
        <v>391</v>
      </c>
      <c r="C125" s="168" t="s">
        <v>251</v>
      </c>
      <c r="D125" s="170">
        <v>2526738901</v>
      </c>
      <c r="E125" s="166">
        <v>938508346</v>
      </c>
      <c r="F125" s="158" t="s">
        <v>247</v>
      </c>
      <c r="G125" s="165">
        <v>33973</v>
      </c>
      <c r="H125" s="51">
        <f t="shared" ca="1" si="2"/>
        <v>23</v>
      </c>
      <c r="I125" s="164" t="str">
        <f t="shared" si="3"/>
        <v>January</v>
      </c>
      <c r="J125" s="52"/>
      <c r="K125" s="53">
        <v>96060</v>
      </c>
      <c r="L125" s="163">
        <v>2</v>
      </c>
    </row>
    <row r="126" spans="1:12" x14ac:dyDescent="0.25">
      <c r="A126" s="158" t="s">
        <v>895</v>
      </c>
      <c r="B126" s="158" t="s">
        <v>391</v>
      </c>
      <c r="C126" s="168" t="s">
        <v>285</v>
      </c>
      <c r="D126" s="167">
        <v>9196756847</v>
      </c>
      <c r="E126" s="166">
        <v>685953695</v>
      </c>
      <c r="F126" s="158" t="s">
        <v>256</v>
      </c>
      <c r="G126" s="165">
        <v>34551</v>
      </c>
      <c r="H126" s="51">
        <f t="shared" ca="1" si="2"/>
        <v>22</v>
      </c>
      <c r="I126" s="164" t="str">
        <f t="shared" si="3"/>
        <v>August</v>
      </c>
      <c r="J126" s="52" t="s">
        <v>283</v>
      </c>
      <c r="K126" s="53">
        <v>99312</v>
      </c>
      <c r="L126" s="163">
        <v>4</v>
      </c>
    </row>
    <row r="127" spans="1:12" x14ac:dyDescent="0.25">
      <c r="A127" s="158" t="s">
        <v>819</v>
      </c>
      <c r="B127" s="158" t="s">
        <v>391</v>
      </c>
      <c r="C127" s="168" t="s">
        <v>285</v>
      </c>
      <c r="D127" s="167">
        <v>9197111802</v>
      </c>
      <c r="E127" s="166">
        <v>694800128</v>
      </c>
      <c r="F127" s="158" t="s">
        <v>256</v>
      </c>
      <c r="G127" s="165">
        <v>36997</v>
      </c>
      <c r="H127" s="51">
        <f t="shared" ca="1" si="2"/>
        <v>15</v>
      </c>
      <c r="I127" s="164" t="str">
        <f t="shared" si="3"/>
        <v>April</v>
      </c>
      <c r="J127" s="52" t="s">
        <v>283</v>
      </c>
      <c r="K127" s="53">
        <v>73596</v>
      </c>
      <c r="L127" s="163">
        <v>1</v>
      </c>
    </row>
    <row r="128" spans="1:12" x14ac:dyDescent="0.25">
      <c r="A128" s="158" t="s">
        <v>344</v>
      </c>
      <c r="B128" s="158" t="s">
        <v>391</v>
      </c>
      <c r="C128" s="168" t="s">
        <v>245</v>
      </c>
      <c r="D128" s="167">
        <v>9191653055</v>
      </c>
      <c r="E128" s="166">
        <v>719937584</v>
      </c>
      <c r="F128" s="158" t="s">
        <v>256</v>
      </c>
      <c r="G128" s="165">
        <v>34175</v>
      </c>
      <c r="H128" s="51">
        <f t="shared" ca="1" si="2"/>
        <v>23</v>
      </c>
      <c r="I128" s="164" t="str">
        <f t="shared" si="3"/>
        <v>July</v>
      </c>
      <c r="J128" s="52" t="s">
        <v>283</v>
      </c>
      <c r="K128" s="53">
        <v>45144</v>
      </c>
      <c r="L128" s="163">
        <v>5</v>
      </c>
    </row>
    <row r="129" spans="1:12" x14ac:dyDescent="0.25">
      <c r="A129" s="158" t="s">
        <v>569</v>
      </c>
      <c r="B129" s="158" t="s">
        <v>391</v>
      </c>
      <c r="C129" s="168" t="s">
        <v>285</v>
      </c>
      <c r="D129" s="167">
        <v>9194983657</v>
      </c>
      <c r="E129" s="166">
        <v>585815837</v>
      </c>
      <c r="F129" s="158" t="s">
        <v>261</v>
      </c>
      <c r="G129" s="165">
        <v>34722</v>
      </c>
      <c r="H129" s="51">
        <f t="shared" ca="1" si="2"/>
        <v>21</v>
      </c>
      <c r="I129" s="164" t="str">
        <f t="shared" si="3"/>
        <v>January</v>
      </c>
      <c r="J129" s="52" t="s">
        <v>276</v>
      </c>
      <c r="K129" s="53">
        <v>22386</v>
      </c>
      <c r="L129" s="163">
        <v>4</v>
      </c>
    </row>
    <row r="130" spans="1:12" x14ac:dyDescent="0.25">
      <c r="A130" s="158" t="s">
        <v>579</v>
      </c>
      <c r="B130" s="158" t="s">
        <v>391</v>
      </c>
      <c r="C130" s="168" t="s">
        <v>271</v>
      </c>
      <c r="D130" s="167">
        <v>2525786813</v>
      </c>
      <c r="E130" s="166">
        <v>690374765</v>
      </c>
      <c r="F130" s="158" t="s">
        <v>256</v>
      </c>
      <c r="G130" s="165">
        <v>34341</v>
      </c>
      <c r="H130" s="51">
        <f t="shared" ref="H130:H193" ca="1" si="4">DATEDIF(G130,TODAY(),"Y")</f>
        <v>22</v>
      </c>
      <c r="I130" s="164" t="str">
        <f t="shared" ref="I130:I193" si="5">CHOOSE(MONTH(G130),"January","February","March","April","May","June","July","August","September","October","November","December")</f>
        <v>January</v>
      </c>
      <c r="J130" s="52" t="s">
        <v>267</v>
      </c>
      <c r="K130" s="53">
        <v>99000</v>
      </c>
      <c r="L130" s="163">
        <v>5</v>
      </c>
    </row>
    <row r="131" spans="1:12" x14ac:dyDescent="0.25">
      <c r="A131" s="158" t="s">
        <v>1002</v>
      </c>
      <c r="B131" s="158" t="s">
        <v>391</v>
      </c>
      <c r="C131" s="168" t="s">
        <v>271</v>
      </c>
      <c r="D131" s="167">
        <v>9191472895</v>
      </c>
      <c r="E131" s="166">
        <v>197789466</v>
      </c>
      <c r="F131" s="158" t="s">
        <v>247</v>
      </c>
      <c r="G131" s="165">
        <v>36465</v>
      </c>
      <c r="H131" s="51">
        <f t="shared" ca="1" si="4"/>
        <v>17</v>
      </c>
      <c r="I131" s="164" t="str">
        <f t="shared" si="5"/>
        <v>November</v>
      </c>
      <c r="J131" s="52"/>
      <c r="K131" s="53">
        <v>91224</v>
      </c>
      <c r="L131" s="163">
        <v>1</v>
      </c>
    </row>
    <row r="132" spans="1:12" x14ac:dyDescent="0.25">
      <c r="A132" s="158" t="s">
        <v>378</v>
      </c>
      <c r="B132" s="158" t="s">
        <v>391</v>
      </c>
      <c r="C132" s="168" t="s">
        <v>271</v>
      </c>
      <c r="D132" s="167">
        <v>2523327522</v>
      </c>
      <c r="E132" s="166">
        <v>469591073</v>
      </c>
      <c r="F132" s="158" t="s">
        <v>256</v>
      </c>
      <c r="G132" s="165">
        <v>37841</v>
      </c>
      <c r="H132" s="51">
        <f t="shared" ca="1" si="4"/>
        <v>13</v>
      </c>
      <c r="I132" s="164" t="str">
        <f t="shared" si="5"/>
        <v>August</v>
      </c>
      <c r="J132" s="52" t="s">
        <v>267</v>
      </c>
      <c r="K132" s="53">
        <v>73380</v>
      </c>
      <c r="L132" s="163">
        <v>4</v>
      </c>
    </row>
    <row r="133" spans="1:12" x14ac:dyDescent="0.25">
      <c r="A133" s="158" t="s">
        <v>474</v>
      </c>
      <c r="B133" s="158" t="s">
        <v>411</v>
      </c>
      <c r="C133" s="168" t="s">
        <v>245</v>
      </c>
      <c r="D133" s="167">
        <v>9196082608</v>
      </c>
      <c r="E133" s="166">
        <v>914041569</v>
      </c>
      <c r="F133" s="158" t="s">
        <v>256</v>
      </c>
      <c r="G133" s="165">
        <v>41128</v>
      </c>
      <c r="H133" s="51">
        <f t="shared" ca="1" si="4"/>
        <v>4</v>
      </c>
      <c r="I133" s="164" t="str">
        <f t="shared" si="5"/>
        <v>August</v>
      </c>
      <c r="J133" s="52" t="s">
        <v>283</v>
      </c>
      <c r="K133" s="53">
        <v>94980</v>
      </c>
      <c r="L133" s="163">
        <v>2</v>
      </c>
    </row>
    <row r="134" spans="1:12" x14ac:dyDescent="0.25">
      <c r="A134" s="158" t="s">
        <v>480</v>
      </c>
      <c r="B134" s="158" t="s">
        <v>411</v>
      </c>
      <c r="C134" s="168" t="s">
        <v>285</v>
      </c>
      <c r="D134" s="167">
        <v>9191299076</v>
      </c>
      <c r="E134" s="166">
        <v>699053064</v>
      </c>
      <c r="F134" s="158" t="s">
        <v>247</v>
      </c>
      <c r="G134" s="165">
        <v>39255</v>
      </c>
      <c r="H134" s="51">
        <f t="shared" ca="1" si="4"/>
        <v>9</v>
      </c>
      <c r="I134" s="164" t="str">
        <f t="shared" si="5"/>
        <v>June</v>
      </c>
      <c r="J134" s="52"/>
      <c r="K134" s="53">
        <v>72072</v>
      </c>
      <c r="L134" s="163">
        <v>2</v>
      </c>
    </row>
    <row r="135" spans="1:12" x14ac:dyDescent="0.25">
      <c r="A135" s="169" t="s">
        <v>270</v>
      </c>
      <c r="B135" s="158" t="s">
        <v>411</v>
      </c>
      <c r="C135" s="168" t="s">
        <v>285</v>
      </c>
      <c r="D135" s="167">
        <v>2527838614</v>
      </c>
      <c r="E135" s="166">
        <v>850210766</v>
      </c>
      <c r="F135" s="158" t="s">
        <v>256</v>
      </c>
      <c r="G135" s="165">
        <v>39315</v>
      </c>
      <c r="H135" s="51">
        <f t="shared" ca="1" si="4"/>
        <v>9</v>
      </c>
      <c r="I135" s="164" t="str">
        <f t="shared" si="5"/>
        <v>August</v>
      </c>
      <c r="J135" s="52" t="s">
        <v>257</v>
      </c>
      <c r="K135" s="53">
        <v>56820</v>
      </c>
      <c r="L135" s="163">
        <v>5</v>
      </c>
    </row>
    <row r="136" spans="1:12" x14ac:dyDescent="0.25">
      <c r="A136" s="158" t="s">
        <v>394</v>
      </c>
      <c r="B136" s="158" t="s">
        <v>411</v>
      </c>
      <c r="C136" s="168" t="s">
        <v>271</v>
      </c>
      <c r="D136" s="167">
        <v>2521696804</v>
      </c>
      <c r="E136" s="166">
        <v>999789446</v>
      </c>
      <c r="F136" s="158" t="s">
        <v>256</v>
      </c>
      <c r="G136" s="165">
        <v>36057</v>
      </c>
      <c r="H136" s="51">
        <f t="shared" ca="1" si="4"/>
        <v>18</v>
      </c>
      <c r="I136" s="164" t="str">
        <f t="shared" si="5"/>
        <v>September</v>
      </c>
      <c r="J136" s="52" t="s">
        <v>257</v>
      </c>
      <c r="K136" s="53">
        <v>80088</v>
      </c>
      <c r="L136" s="163">
        <v>2</v>
      </c>
    </row>
    <row r="137" spans="1:12" x14ac:dyDescent="0.25">
      <c r="A137" s="158" t="s">
        <v>292</v>
      </c>
      <c r="B137" s="158" t="s">
        <v>411</v>
      </c>
      <c r="C137" s="168" t="s">
        <v>245</v>
      </c>
      <c r="D137" s="167">
        <v>9196188082</v>
      </c>
      <c r="E137" s="166">
        <v>885773638</v>
      </c>
      <c r="F137" s="158" t="s">
        <v>256</v>
      </c>
      <c r="G137" s="165">
        <v>37297</v>
      </c>
      <c r="H137" s="51">
        <f t="shared" ca="1" si="4"/>
        <v>14</v>
      </c>
      <c r="I137" s="164" t="str">
        <f t="shared" si="5"/>
        <v>February</v>
      </c>
      <c r="J137" s="52" t="s">
        <v>283</v>
      </c>
      <c r="K137" s="53">
        <v>90072</v>
      </c>
      <c r="L137" s="163">
        <v>5</v>
      </c>
    </row>
    <row r="138" spans="1:12" x14ac:dyDescent="0.25">
      <c r="A138" s="158" t="s">
        <v>677</v>
      </c>
      <c r="B138" s="158" t="s">
        <v>417</v>
      </c>
      <c r="C138" s="168" t="s">
        <v>285</v>
      </c>
      <c r="D138" s="167">
        <v>9193089561</v>
      </c>
      <c r="E138" s="166">
        <v>659929807</v>
      </c>
      <c r="F138" s="158" t="s">
        <v>256</v>
      </c>
      <c r="G138" s="165">
        <v>39481</v>
      </c>
      <c r="H138" s="51">
        <f t="shared" ca="1" si="4"/>
        <v>8</v>
      </c>
      <c r="I138" s="164" t="str">
        <f t="shared" si="5"/>
        <v>February</v>
      </c>
      <c r="J138" s="52" t="s">
        <v>257</v>
      </c>
      <c r="K138" s="53">
        <v>26892</v>
      </c>
      <c r="L138" s="163">
        <v>4</v>
      </c>
    </row>
    <row r="139" spans="1:12" x14ac:dyDescent="0.25">
      <c r="A139" s="158" t="s">
        <v>1024</v>
      </c>
      <c r="B139" s="158" t="s">
        <v>417</v>
      </c>
      <c r="C139" s="168" t="s">
        <v>285</v>
      </c>
      <c r="D139" s="167">
        <v>9196126835</v>
      </c>
      <c r="E139" s="166">
        <v>661397587</v>
      </c>
      <c r="F139" s="158" t="s">
        <v>247</v>
      </c>
      <c r="G139" s="165">
        <v>35640</v>
      </c>
      <c r="H139" s="51">
        <f t="shared" ca="1" si="4"/>
        <v>19</v>
      </c>
      <c r="I139" s="164" t="str">
        <f t="shared" si="5"/>
        <v>July</v>
      </c>
      <c r="J139" s="52"/>
      <c r="K139" s="53">
        <v>48672</v>
      </c>
      <c r="L139" s="163">
        <v>5</v>
      </c>
    </row>
    <row r="140" spans="1:12" x14ac:dyDescent="0.25">
      <c r="A140" s="158" t="s">
        <v>679</v>
      </c>
      <c r="B140" s="158" t="s">
        <v>417</v>
      </c>
      <c r="C140" s="168" t="s">
        <v>251</v>
      </c>
      <c r="D140" s="167">
        <v>2524697218</v>
      </c>
      <c r="E140" s="166">
        <v>105708355</v>
      </c>
      <c r="F140" s="158" t="s">
        <v>256</v>
      </c>
      <c r="G140" s="165">
        <v>36717</v>
      </c>
      <c r="H140" s="51">
        <f t="shared" ca="1" si="4"/>
        <v>16</v>
      </c>
      <c r="I140" s="164" t="str">
        <f t="shared" si="5"/>
        <v>July</v>
      </c>
      <c r="J140" s="52" t="s">
        <v>262</v>
      </c>
      <c r="K140" s="53">
        <v>85212</v>
      </c>
      <c r="L140" s="163">
        <v>5</v>
      </c>
    </row>
    <row r="141" spans="1:12" x14ac:dyDescent="0.25">
      <c r="A141" s="158" t="s">
        <v>472</v>
      </c>
      <c r="B141" s="158" t="s">
        <v>417</v>
      </c>
      <c r="C141" s="168" t="s">
        <v>271</v>
      </c>
      <c r="D141" s="167">
        <v>2526500529</v>
      </c>
      <c r="E141" s="166">
        <v>518690148</v>
      </c>
      <c r="F141" s="158" t="s">
        <v>256</v>
      </c>
      <c r="G141" s="165">
        <v>41127</v>
      </c>
      <c r="H141" s="51">
        <f t="shared" ca="1" si="4"/>
        <v>4</v>
      </c>
      <c r="I141" s="164" t="str">
        <f t="shared" si="5"/>
        <v>August</v>
      </c>
      <c r="J141" s="52" t="s">
        <v>267</v>
      </c>
      <c r="K141" s="53">
        <v>39168</v>
      </c>
      <c r="L141" s="163">
        <v>4</v>
      </c>
    </row>
    <row r="142" spans="1:12" x14ac:dyDescent="0.25">
      <c r="A142" s="158" t="s">
        <v>490</v>
      </c>
      <c r="B142" s="158" t="s">
        <v>417</v>
      </c>
      <c r="C142" s="168" t="s">
        <v>271</v>
      </c>
      <c r="D142" s="167">
        <v>9195968632</v>
      </c>
      <c r="E142" s="166">
        <v>407299017</v>
      </c>
      <c r="F142" s="158" t="s">
        <v>252</v>
      </c>
      <c r="G142" s="165">
        <v>40621</v>
      </c>
      <c r="H142" s="51">
        <f t="shared" ca="1" si="4"/>
        <v>5</v>
      </c>
      <c r="I142" s="164" t="str">
        <f t="shared" si="5"/>
        <v>March</v>
      </c>
      <c r="J142" s="52"/>
      <c r="K142" s="53">
        <v>18893</v>
      </c>
      <c r="L142" s="163">
        <v>3</v>
      </c>
    </row>
    <row r="143" spans="1:12" x14ac:dyDescent="0.25">
      <c r="A143" s="158" t="s">
        <v>784</v>
      </c>
      <c r="B143" s="158" t="s">
        <v>417</v>
      </c>
      <c r="C143" s="168" t="s">
        <v>266</v>
      </c>
      <c r="D143" s="167">
        <v>2521156902</v>
      </c>
      <c r="E143" s="166">
        <v>956291859</v>
      </c>
      <c r="F143" s="158" t="s">
        <v>247</v>
      </c>
      <c r="G143" s="165">
        <v>40987</v>
      </c>
      <c r="H143" s="51">
        <f t="shared" ca="1" si="4"/>
        <v>4</v>
      </c>
      <c r="I143" s="164" t="str">
        <f t="shared" si="5"/>
        <v>March</v>
      </c>
      <c r="J143" s="52"/>
      <c r="K143" s="53">
        <v>54852</v>
      </c>
      <c r="L143" s="163">
        <v>3</v>
      </c>
    </row>
    <row r="144" spans="1:12" x14ac:dyDescent="0.25">
      <c r="A144" s="169" t="s">
        <v>277</v>
      </c>
      <c r="B144" s="158" t="s">
        <v>417</v>
      </c>
      <c r="C144" s="168" t="s">
        <v>285</v>
      </c>
      <c r="D144" s="167">
        <v>9195876028</v>
      </c>
      <c r="E144" s="166">
        <v>659766304</v>
      </c>
      <c r="F144" s="158" t="s">
        <v>256</v>
      </c>
      <c r="G144" s="165">
        <v>36229</v>
      </c>
      <c r="H144" s="51">
        <f t="shared" ca="1" si="4"/>
        <v>17</v>
      </c>
      <c r="I144" s="164" t="str">
        <f t="shared" si="5"/>
        <v>March</v>
      </c>
      <c r="J144" s="52" t="s">
        <v>283</v>
      </c>
      <c r="K144" s="53">
        <v>45300</v>
      </c>
      <c r="L144" s="163">
        <v>5</v>
      </c>
    </row>
    <row r="145" spans="1:12" x14ac:dyDescent="0.25">
      <c r="A145" s="158" t="s">
        <v>498</v>
      </c>
      <c r="B145" s="158" t="s">
        <v>417</v>
      </c>
      <c r="C145" s="168" t="s">
        <v>271</v>
      </c>
      <c r="D145" s="167">
        <v>9191999230</v>
      </c>
      <c r="E145" s="166">
        <v>503349830</v>
      </c>
      <c r="F145" s="158" t="s">
        <v>256</v>
      </c>
      <c r="G145" s="165">
        <v>34133</v>
      </c>
      <c r="H145" s="51">
        <f t="shared" ca="1" si="4"/>
        <v>23</v>
      </c>
      <c r="I145" s="164" t="str">
        <f t="shared" si="5"/>
        <v>June</v>
      </c>
      <c r="J145" s="52" t="s">
        <v>283</v>
      </c>
      <c r="K145" s="53">
        <v>38568</v>
      </c>
      <c r="L145" s="163">
        <v>2</v>
      </c>
    </row>
    <row r="146" spans="1:12" x14ac:dyDescent="0.25">
      <c r="A146" s="158" t="s">
        <v>753</v>
      </c>
      <c r="B146" s="158" t="s">
        <v>417</v>
      </c>
      <c r="C146" s="168" t="s">
        <v>271</v>
      </c>
      <c r="D146" s="167">
        <v>9194194193</v>
      </c>
      <c r="E146" s="166">
        <v>707553376</v>
      </c>
      <c r="F146" s="158" t="s">
        <v>256</v>
      </c>
      <c r="G146" s="165">
        <v>35812</v>
      </c>
      <c r="H146" s="51">
        <f t="shared" ca="1" si="4"/>
        <v>18</v>
      </c>
      <c r="I146" s="164" t="str">
        <f t="shared" si="5"/>
        <v>January</v>
      </c>
      <c r="J146" s="52" t="s">
        <v>276</v>
      </c>
      <c r="K146" s="53">
        <v>59112</v>
      </c>
      <c r="L146" s="163">
        <v>3</v>
      </c>
    </row>
    <row r="147" spans="1:12" x14ac:dyDescent="0.25">
      <c r="A147" s="158" t="s">
        <v>422</v>
      </c>
      <c r="B147" s="158" t="s">
        <v>417</v>
      </c>
      <c r="C147" s="168" t="s">
        <v>271</v>
      </c>
      <c r="D147" s="167">
        <v>2527553017</v>
      </c>
      <c r="E147" s="166">
        <v>625531462</v>
      </c>
      <c r="F147" s="158" t="s">
        <v>256</v>
      </c>
      <c r="G147" s="165">
        <v>38016</v>
      </c>
      <c r="H147" s="51">
        <f t="shared" ca="1" si="4"/>
        <v>12</v>
      </c>
      <c r="I147" s="164" t="str">
        <f t="shared" si="5"/>
        <v>January</v>
      </c>
      <c r="J147" s="52" t="s">
        <v>257</v>
      </c>
      <c r="K147" s="53">
        <v>50976</v>
      </c>
      <c r="L147" s="163">
        <v>3</v>
      </c>
    </row>
    <row r="148" spans="1:12" x14ac:dyDescent="0.25">
      <c r="A148" s="158" t="s">
        <v>506</v>
      </c>
      <c r="B148" s="158" t="s">
        <v>417</v>
      </c>
      <c r="C148" s="168" t="s">
        <v>285</v>
      </c>
      <c r="D148" s="167">
        <v>2524442207</v>
      </c>
      <c r="E148" s="166">
        <v>536516131</v>
      </c>
      <c r="F148" s="158" t="s">
        <v>256</v>
      </c>
      <c r="G148" s="165">
        <v>41198</v>
      </c>
      <c r="H148" s="51">
        <f t="shared" ca="1" si="4"/>
        <v>4</v>
      </c>
      <c r="I148" s="164" t="str">
        <f t="shared" si="5"/>
        <v>October</v>
      </c>
      <c r="J148" s="52" t="s">
        <v>283</v>
      </c>
      <c r="K148" s="53">
        <v>51144</v>
      </c>
      <c r="L148" s="163">
        <v>3</v>
      </c>
    </row>
    <row r="149" spans="1:12" x14ac:dyDescent="0.25">
      <c r="A149" s="158" t="s">
        <v>321</v>
      </c>
      <c r="B149" s="158" t="s">
        <v>417</v>
      </c>
      <c r="C149" s="168" t="s">
        <v>271</v>
      </c>
      <c r="D149" s="167">
        <v>2527135797</v>
      </c>
      <c r="E149" s="166">
        <v>282972141</v>
      </c>
      <c r="F149" s="158" t="s">
        <v>247</v>
      </c>
      <c r="G149" s="165">
        <v>36667</v>
      </c>
      <c r="H149" s="51">
        <f t="shared" ca="1" si="4"/>
        <v>16</v>
      </c>
      <c r="I149" s="164" t="str">
        <f t="shared" si="5"/>
        <v>May</v>
      </c>
      <c r="J149" s="52"/>
      <c r="K149" s="53">
        <v>30144</v>
      </c>
      <c r="L149" s="163">
        <v>5</v>
      </c>
    </row>
    <row r="150" spans="1:12" x14ac:dyDescent="0.25">
      <c r="A150" s="158" t="s">
        <v>516</v>
      </c>
      <c r="B150" s="158" t="s">
        <v>417</v>
      </c>
      <c r="C150" s="168" t="s">
        <v>245</v>
      </c>
      <c r="D150" s="167">
        <v>2522612740</v>
      </c>
      <c r="E150" s="166">
        <v>932787692</v>
      </c>
      <c r="F150" s="158" t="s">
        <v>247</v>
      </c>
      <c r="G150" s="165">
        <v>34889</v>
      </c>
      <c r="H150" s="51">
        <f t="shared" ca="1" si="4"/>
        <v>21</v>
      </c>
      <c r="I150" s="164" t="str">
        <f t="shared" si="5"/>
        <v>July</v>
      </c>
      <c r="J150" s="52"/>
      <c r="K150" s="53">
        <v>76908</v>
      </c>
      <c r="L150" s="163">
        <v>2</v>
      </c>
    </row>
    <row r="151" spans="1:12" x14ac:dyDescent="0.25">
      <c r="A151" s="158" t="s">
        <v>528</v>
      </c>
      <c r="B151" s="158" t="s">
        <v>417</v>
      </c>
      <c r="C151" s="168" t="s">
        <v>285</v>
      </c>
      <c r="D151" s="167">
        <v>2525317859</v>
      </c>
      <c r="E151" s="166">
        <v>541365827</v>
      </c>
      <c r="F151" s="158" t="s">
        <v>256</v>
      </c>
      <c r="G151" s="165">
        <v>38863</v>
      </c>
      <c r="H151" s="51">
        <f t="shared" ca="1" si="4"/>
        <v>10</v>
      </c>
      <c r="I151" s="164" t="str">
        <f t="shared" si="5"/>
        <v>May</v>
      </c>
      <c r="J151" s="52" t="s">
        <v>267</v>
      </c>
      <c r="K151" s="53">
        <v>78672</v>
      </c>
      <c r="L151" s="163">
        <v>1</v>
      </c>
    </row>
    <row r="152" spans="1:12" x14ac:dyDescent="0.25">
      <c r="A152" s="158" t="s">
        <v>533</v>
      </c>
      <c r="B152" s="158" t="s">
        <v>417</v>
      </c>
      <c r="C152" s="168" t="s">
        <v>245</v>
      </c>
      <c r="D152" s="167">
        <v>2523919445</v>
      </c>
      <c r="E152" s="166">
        <v>304068732</v>
      </c>
      <c r="F152" s="158" t="s">
        <v>261</v>
      </c>
      <c r="G152" s="165">
        <v>34437</v>
      </c>
      <c r="H152" s="51">
        <f t="shared" ca="1" si="4"/>
        <v>22</v>
      </c>
      <c r="I152" s="164" t="str">
        <f t="shared" si="5"/>
        <v>April</v>
      </c>
      <c r="J152" s="52" t="s">
        <v>257</v>
      </c>
      <c r="K152" s="53">
        <v>40932</v>
      </c>
      <c r="L152" s="163">
        <v>4</v>
      </c>
    </row>
    <row r="153" spans="1:12" x14ac:dyDescent="0.25">
      <c r="A153" s="158" t="s">
        <v>969</v>
      </c>
      <c r="B153" s="158" t="s">
        <v>417</v>
      </c>
      <c r="C153" s="168" t="s">
        <v>285</v>
      </c>
      <c r="D153" s="167">
        <v>2526166452</v>
      </c>
      <c r="E153" s="166">
        <v>110184347</v>
      </c>
      <c r="F153" s="158" t="s">
        <v>256</v>
      </c>
      <c r="G153" s="165">
        <v>35981</v>
      </c>
      <c r="H153" s="51">
        <f t="shared" ca="1" si="4"/>
        <v>18</v>
      </c>
      <c r="I153" s="164" t="str">
        <f t="shared" si="5"/>
        <v>July</v>
      </c>
      <c r="J153" s="52" t="s">
        <v>257</v>
      </c>
      <c r="K153" s="53">
        <v>76536</v>
      </c>
      <c r="L153" s="163">
        <v>5</v>
      </c>
    </row>
    <row r="154" spans="1:12" x14ac:dyDescent="0.25">
      <c r="A154" s="158" t="s">
        <v>397</v>
      </c>
      <c r="B154" s="158" t="s">
        <v>417</v>
      </c>
      <c r="C154" s="168" t="s">
        <v>285</v>
      </c>
      <c r="D154" s="167">
        <v>9198865267</v>
      </c>
      <c r="E154" s="166">
        <v>575648597</v>
      </c>
      <c r="F154" s="158" t="s">
        <v>247</v>
      </c>
      <c r="G154" s="165">
        <v>38369</v>
      </c>
      <c r="H154" s="51">
        <f t="shared" ca="1" si="4"/>
        <v>11</v>
      </c>
      <c r="I154" s="164" t="str">
        <f t="shared" si="5"/>
        <v>January</v>
      </c>
      <c r="J154" s="52"/>
      <c r="K154" s="53">
        <v>38364</v>
      </c>
      <c r="L154" s="163">
        <v>5</v>
      </c>
    </row>
    <row r="155" spans="1:12" x14ac:dyDescent="0.25">
      <c r="A155" s="158" t="s">
        <v>1027</v>
      </c>
      <c r="B155" s="158" t="s">
        <v>417</v>
      </c>
      <c r="C155" s="168" t="s">
        <v>245</v>
      </c>
      <c r="D155" s="167">
        <v>9196097340</v>
      </c>
      <c r="E155" s="166">
        <v>870601943</v>
      </c>
      <c r="F155" s="158" t="s">
        <v>247</v>
      </c>
      <c r="G155" s="165">
        <v>35489</v>
      </c>
      <c r="H155" s="51">
        <f t="shared" ca="1" si="4"/>
        <v>19</v>
      </c>
      <c r="I155" s="164" t="str">
        <f t="shared" si="5"/>
        <v>February</v>
      </c>
      <c r="J155" s="52"/>
      <c r="K155" s="53">
        <v>54048</v>
      </c>
      <c r="L155" s="163">
        <v>5</v>
      </c>
    </row>
    <row r="156" spans="1:12" x14ac:dyDescent="0.25">
      <c r="A156" s="158" t="s">
        <v>822</v>
      </c>
      <c r="B156" s="158" t="s">
        <v>417</v>
      </c>
      <c r="C156" s="168" t="s">
        <v>271</v>
      </c>
      <c r="D156" s="167">
        <v>2524562999</v>
      </c>
      <c r="E156" s="166">
        <v>736688620</v>
      </c>
      <c r="F156" s="158" t="s">
        <v>261</v>
      </c>
      <c r="G156" s="165">
        <v>40496</v>
      </c>
      <c r="H156" s="51">
        <f t="shared" ca="1" si="4"/>
        <v>6</v>
      </c>
      <c r="I156" s="164" t="str">
        <f t="shared" si="5"/>
        <v>November</v>
      </c>
      <c r="J156" s="52" t="s">
        <v>257</v>
      </c>
      <c r="K156" s="53">
        <v>47418</v>
      </c>
      <c r="L156" s="163">
        <v>5</v>
      </c>
    </row>
    <row r="157" spans="1:12" x14ac:dyDescent="0.25">
      <c r="A157" s="158" t="s">
        <v>543</v>
      </c>
      <c r="B157" s="158" t="s">
        <v>417</v>
      </c>
      <c r="C157" s="168" t="s">
        <v>285</v>
      </c>
      <c r="D157" s="167">
        <v>9197508998</v>
      </c>
      <c r="E157" s="166">
        <v>393051351</v>
      </c>
      <c r="F157" s="158" t="s">
        <v>261</v>
      </c>
      <c r="G157" s="165">
        <v>35914</v>
      </c>
      <c r="H157" s="51">
        <f t="shared" ca="1" si="4"/>
        <v>18</v>
      </c>
      <c r="I157" s="164" t="str">
        <f t="shared" si="5"/>
        <v>April</v>
      </c>
      <c r="J157" s="52" t="s">
        <v>276</v>
      </c>
      <c r="K157" s="53">
        <v>39402</v>
      </c>
      <c r="L157" s="163">
        <v>2</v>
      </c>
    </row>
    <row r="158" spans="1:12" x14ac:dyDescent="0.25">
      <c r="A158" s="158" t="s">
        <v>544</v>
      </c>
      <c r="B158" s="158" t="s">
        <v>417</v>
      </c>
      <c r="C158" s="168" t="s">
        <v>251</v>
      </c>
      <c r="D158" s="167">
        <v>2522338778</v>
      </c>
      <c r="E158" s="166">
        <v>993867417</v>
      </c>
      <c r="F158" s="158" t="s">
        <v>256</v>
      </c>
      <c r="G158" s="165">
        <v>34651</v>
      </c>
      <c r="H158" s="51">
        <f t="shared" ca="1" si="4"/>
        <v>22</v>
      </c>
      <c r="I158" s="164" t="str">
        <f t="shared" si="5"/>
        <v>November</v>
      </c>
      <c r="J158" s="52" t="s">
        <v>283</v>
      </c>
      <c r="K158" s="53">
        <v>55608</v>
      </c>
      <c r="L158" s="163">
        <v>5</v>
      </c>
    </row>
    <row r="159" spans="1:12" x14ac:dyDescent="0.25">
      <c r="A159" s="158" t="s">
        <v>900</v>
      </c>
      <c r="B159" s="158" t="s">
        <v>417</v>
      </c>
      <c r="C159" s="168" t="s">
        <v>271</v>
      </c>
      <c r="D159" s="167">
        <v>2526563683</v>
      </c>
      <c r="E159" s="166">
        <v>113699123</v>
      </c>
      <c r="F159" s="158" t="s">
        <v>256</v>
      </c>
      <c r="G159" s="165">
        <v>33845</v>
      </c>
      <c r="H159" s="51">
        <f t="shared" ca="1" si="4"/>
        <v>24</v>
      </c>
      <c r="I159" s="164" t="str">
        <f t="shared" si="5"/>
        <v>August</v>
      </c>
      <c r="J159" s="52" t="s">
        <v>267</v>
      </c>
      <c r="K159" s="53">
        <v>42432</v>
      </c>
      <c r="L159" s="163">
        <v>5</v>
      </c>
    </row>
    <row r="160" spans="1:12" x14ac:dyDescent="0.25">
      <c r="A160" s="158" t="s">
        <v>558</v>
      </c>
      <c r="B160" s="158" t="s">
        <v>417</v>
      </c>
      <c r="C160" s="168" t="s">
        <v>285</v>
      </c>
      <c r="D160" s="167">
        <v>9191559081</v>
      </c>
      <c r="E160" s="166">
        <v>425598783</v>
      </c>
      <c r="F160" s="158" t="s">
        <v>261</v>
      </c>
      <c r="G160" s="165">
        <v>35798</v>
      </c>
      <c r="H160" s="51">
        <f t="shared" ca="1" si="4"/>
        <v>18</v>
      </c>
      <c r="I160" s="164" t="str">
        <f t="shared" si="5"/>
        <v>January</v>
      </c>
      <c r="J160" s="52" t="s">
        <v>276</v>
      </c>
      <c r="K160" s="53">
        <v>25464</v>
      </c>
      <c r="L160" s="163">
        <v>3</v>
      </c>
    </row>
    <row r="161" spans="1:12" x14ac:dyDescent="0.25">
      <c r="A161" s="158" t="s">
        <v>659</v>
      </c>
      <c r="B161" s="158" t="s">
        <v>417</v>
      </c>
      <c r="C161" s="168" t="s">
        <v>245</v>
      </c>
      <c r="D161" s="167">
        <v>9195508095</v>
      </c>
      <c r="E161" s="166">
        <v>429283827</v>
      </c>
      <c r="F161" s="158" t="s">
        <v>256</v>
      </c>
      <c r="G161" s="165">
        <v>37371</v>
      </c>
      <c r="H161" s="51">
        <f t="shared" ca="1" si="4"/>
        <v>14</v>
      </c>
      <c r="I161" s="164" t="str">
        <f t="shared" si="5"/>
        <v>April</v>
      </c>
      <c r="J161" s="52" t="s">
        <v>283</v>
      </c>
      <c r="K161" s="53">
        <v>85656</v>
      </c>
      <c r="L161" s="163">
        <v>2</v>
      </c>
    </row>
    <row r="162" spans="1:12" x14ac:dyDescent="0.25">
      <c r="A162" s="158" t="s">
        <v>439</v>
      </c>
      <c r="B162" s="158" t="s">
        <v>417</v>
      </c>
      <c r="C162" s="168" t="s">
        <v>280</v>
      </c>
      <c r="D162" s="167">
        <v>2522381391</v>
      </c>
      <c r="E162" s="166">
        <v>279591317</v>
      </c>
      <c r="F162" s="158" t="s">
        <v>252</v>
      </c>
      <c r="G162" s="165">
        <v>36991</v>
      </c>
      <c r="H162" s="51">
        <f t="shared" ca="1" si="4"/>
        <v>15</v>
      </c>
      <c r="I162" s="164" t="str">
        <f t="shared" si="5"/>
        <v>April</v>
      </c>
      <c r="J162" s="52"/>
      <c r="K162" s="53">
        <v>46522</v>
      </c>
      <c r="L162" s="163">
        <v>4</v>
      </c>
    </row>
    <row r="163" spans="1:12" x14ac:dyDescent="0.25">
      <c r="A163" s="158" t="s">
        <v>908</v>
      </c>
      <c r="B163" s="158" t="s">
        <v>417</v>
      </c>
      <c r="C163" s="168" t="s">
        <v>280</v>
      </c>
      <c r="D163" s="167">
        <v>2523938131</v>
      </c>
      <c r="E163" s="166">
        <v>525507320</v>
      </c>
      <c r="F163" s="158" t="s">
        <v>256</v>
      </c>
      <c r="G163" s="165">
        <v>37142</v>
      </c>
      <c r="H163" s="51">
        <f t="shared" ca="1" si="4"/>
        <v>15</v>
      </c>
      <c r="I163" s="164" t="str">
        <f t="shared" si="5"/>
        <v>September</v>
      </c>
      <c r="J163" s="52" t="s">
        <v>276</v>
      </c>
      <c r="K163" s="53">
        <v>47616</v>
      </c>
      <c r="L163" s="163">
        <v>5</v>
      </c>
    </row>
    <row r="164" spans="1:12" x14ac:dyDescent="0.25">
      <c r="A164" s="158" t="s">
        <v>997</v>
      </c>
      <c r="B164" s="158" t="s">
        <v>417</v>
      </c>
      <c r="C164" s="168" t="s">
        <v>271</v>
      </c>
      <c r="D164" s="167">
        <v>2527102355</v>
      </c>
      <c r="E164" s="166">
        <v>571821715</v>
      </c>
      <c r="F164" s="158" t="s">
        <v>256</v>
      </c>
      <c r="G164" s="165">
        <v>36333</v>
      </c>
      <c r="H164" s="51">
        <f t="shared" ca="1" si="4"/>
        <v>17</v>
      </c>
      <c r="I164" s="164" t="str">
        <f t="shared" si="5"/>
        <v>June</v>
      </c>
      <c r="J164" s="52" t="s">
        <v>283</v>
      </c>
      <c r="K164" s="53">
        <v>68244</v>
      </c>
      <c r="L164" s="163">
        <v>1</v>
      </c>
    </row>
    <row r="165" spans="1:12" x14ac:dyDescent="0.25">
      <c r="A165" s="158" t="s">
        <v>349</v>
      </c>
      <c r="B165" s="158" t="s">
        <v>417</v>
      </c>
      <c r="C165" s="168" t="s">
        <v>285</v>
      </c>
      <c r="D165" s="167">
        <v>2521614846</v>
      </c>
      <c r="E165" s="166">
        <v>116869057</v>
      </c>
      <c r="F165" s="158" t="s">
        <v>261</v>
      </c>
      <c r="G165" s="165">
        <v>35483</v>
      </c>
      <c r="H165" s="51">
        <f t="shared" ca="1" si="4"/>
        <v>19</v>
      </c>
      <c r="I165" s="164" t="str">
        <f t="shared" si="5"/>
        <v>February</v>
      </c>
      <c r="J165" s="52" t="s">
        <v>267</v>
      </c>
      <c r="K165" s="53">
        <v>18006</v>
      </c>
      <c r="L165" s="163">
        <v>4</v>
      </c>
    </row>
    <row r="166" spans="1:12" x14ac:dyDescent="0.25">
      <c r="A166" s="158" t="s">
        <v>828</v>
      </c>
      <c r="B166" s="158" t="s">
        <v>417</v>
      </c>
      <c r="C166" s="168" t="s">
        <v>271</v>
      </c>
      <c r="D166" s="167">
        <v>2522969056</v>
      </c>
      <c r="E166" s="166">
        <v>249760737</v>
      </c>
      <c r="F166" s="158" t="s">
        <v>247</v>
      </c>
      <c r="G166" s="165">
        <v>34677</v>
      </c>
      <c r="H166" s="51">
        <f t="shared" ca="1" si="4"/>
        <v>21</v>
      </c>
      <c r="I166" s="164" t="str">
        <f t="shared" si="5"/>
        <v>December</v>
      </c>
      <c r="J166" s="52"/>
      <c r="K166" s="53">
        <v>97284</v>
      </c>
      <c r="L166" s="163">
        <v>5</v>
      </c>
    </row>
    <row r="167" spans="1:12" x14ac:dyDescent="0.25">
      <c r="A167" s="158" t="s">
        <v>661</v>
      </c>
      <c r="B167" s="158" t="s">
        <v>417</v>
      </c>
      <c r="C167" s="168" t="s">
        <v>271</v>
      </c>
      <c r="D167" s="167">
        <v>9197288082</v>
      </c>
      <c r="E167" s="166">
        <v>232896341</v>
      </c>
      <c r="F167" s="158" t="s">
        <v>247</v>
      </c>
      <c r="G167" s="165">
        <v>40964</v>
      </c>
      <c r="H167" s="51">
        <f t="shared" ca="1" si="4"/>
        <v>4</v>
      </c>
      <c r="I167" s="164" t="str">
        <f t="shared" si="5"/>
        <v>February</v>
      </c>
      <c r="J167" s="52"/>
      <c r="K167" s="53">
        <v>54996</v>
      </c>
      <c r="L167" s="163">
        <v>4</v>
      </c>
    </row>
    <row r="168" spans="1:12" x14ac:dyDescent="0.25">
      <c r="A168" s="158" t="s">
        <v>583</v>
      </c>
      <c r="B168" s="158" t="s">
        <v>417</v>
      </c>
      <c r="C168" s="168" t="s">
        <v>280</v>
      </c>
      <c r="D168" s="167">
        <v>9191534053</v>
      </c>
      <c r="E168" s="166">
        <v>291841866</v>
      </c>
      <c r="F168" s="158" t="s">
        <v>256</v>
      </c>
      <c r="G168" s="165">
        <v>34600</v>
      </c>
      <c r="H168" s="51">
        <f t="shared" ca="1" si="4"/>
        <v>22</v>
      </c>
      <c r="I168" s="164" t="str">
        <f t="shared" si="5"/>
        <v>September</v>
      </c>
      <c r="J168" s="52" t="s">
        <v>257</v>
      </c>
      <c r="K168" s="53">
        <v>77412</v>
      </c>
      <c r="L168" s="163">
        <v>3</v>
      </c>
    </row>
    <row r="169" spans="1:12" x14ac:dyDescent="0.25">
      <c r="A169" s="158" t="s">
        <v>831</v>
      </c>
      <c r="B169" s="158" t="s">
        <v>417</v>
      </c>
      <c r="C169" s="168" t="s">
        <v>285</v>
      </c>
      <c r="D169" s="167">
        <v>2526053287</v>
      </c>
      <c r="E169" s="166">
        <v>927043360</v>
      </c>
      <c r="F169" s="158" t="s">
        <v>247</v>
      </c>
      <c r="G169" s="165">
        <v>34152</v>
      </c>
      <c r="H169" s="51">
        <f t="shared" ca="1" si="4"/>
        <v>23</v>
      </c>
      <c r="I169" s="164" t="str">
        <f t="shared" si="5"/>
        <v>July</v>
      </c>
      <c r="J169" s="52"/>
      <c r="K169" s="53">
        <v>26784</v>
      </c>
      <c r="L169" s="163">
        <v>2</v>
      </c>
    </row>
    <row r="170" spans="1:12" x14ac:dyDescent="0.25">
      <c r="A170" s="158" t="s">
        <v>668</v>
      </c>
      <c r="B170" s="158" t="s">
        <v>417</v>
      </c>
      <c r="C170" s="168" t="s">
        <v>251</v>
      </c>
      <c r="D170" s="167">
        <v>2527051004</v>
      </c>
      <c r="E170" s="166">
        <v>281005046</v>
      </c>
      <c r="F170" s="158" t="s">
        <v>247</v>
      </c>
      <c r="G170" s="165">
        <v>40782</v>
      </c>
      <c r="H170" s="51">
        <f t="shared" ca="1" si="4"/>
        <v>5</v>
      </c>
      <c r="I170" s="164" t="str">
        <f t="shared" si="5"/>
        <v>August</v>
      </c>
      <c r="J170" s="52"/>
      <c r="K170" s="53">
        <v>68304</v>
      </c>
      <c r="L170" s="163">
        <v>4</v>
      </c>
    </row>
    <row r="171" spans="1:12" x14ac:dyDescent="0.25">
      <c r="A171" s="158" t="s">
        <v>840</v>
      </c>
      <c r="B171" s="158" t="s">
        <v>417</v>
      </c>
      <c r="C171" s="168" t="s">
        <v>251</v>
      </c>
      <c r="D171" s="167">
        <v>9197226463</v>
      </c>
      <c r="E171" s="166">
        <v>212136062</v>
      </c>
      <c r="F171" s="158" t="s">
        <v>256</v>
      </c>
      <c r="G171" s="165">
        <v>36810</v>
      </c>
      <c r="H171" s="51">
        <f t="shared" ca="1" si="4"/>
        <v>16</v>
      </c>
      <c r="I171" s="164" t="str">
        <f t="shared" si="5"/>
        <v>October</v>
      </c>
      <c r="J171" s="52" t="s">
        <v>283</v>
      </c>
      <c r="K171" s="53">
        <v>98880</v>
      </c>
      <c r="L171" s="163">
        <v>2</v>
      </c>
    </row>
    <row r="172" spans="1:12" x14ac:dyDescent="0.25">
      <c r="A172" s="158" t="s">
        <v>602</v>
      </c>
      <c r="B172" s="158" t="s">
        <v>417</v>
      </c>
      <c r="C172" s="168" t="s">
        <v>271</v>
      </c>
      <c r="D172" s="167">
        <v>9196514650</v>
      </c>
      <c r="E172" s="166">
        <v>603301910</v>
      </c>
      <c r="F172" s="158" t="s">
        <v>256</v>
      </c>
      <c r="G172" s="165">
        <v>34941</v>
      </c>
      <c r="H172" s="51">
        <f t="shared" ca="1" si="4"/>
        <v>21</v>
      </c>
      <c r="I172" s="164" t="str">
        <f t="shared" si="5"/>
        <v>August</v>
      </c>
      <c r="J172" s="52" t="s">
        <v>257</v>
      </c>
      <c r="K172" s="53">
        <v>87480</v>
      </c>
      <c r="L172" s="163">
        <v>3</v>
      </c>
    </row>
    <row r="173" spans="1:12" x14ac:dyDescent="0.25">
      <c r="A173" s="158" t="s">
        <v>363</v>
      </c>
      <c r="B173" s="158" t="s">
        <v>417</v>
      </c>
      <c r="C173" s="168" t="s">
        <v>280</v>
      </c>
      <c r="D173" s="167">
        <v>9194323329</v>
      </c>
      <c r="E173" s="166">
        <v>171868795</v>
      </c>
      <c r="F173" s="158" t="s">
        <v>256</v>
      </c>
      <c r="G173" s="165">
        <v>33807</v>
      </c>
      <c r="H173" s="51">
        <f t="shared" ca="1" si="4"/>
        <v>24</v>
      </c>
      <c r="I173" s="164" t="str">
        <f t="shared" si="5"/>
        <v>July</v>
      </c>
      <c r="J173" s="52" t="s">
        <v>276</v>
      </c>
      <c r="K173" s="53">
        <v>38832</v>
      </c>
      <c r="L173" s="163">
        <v>4</v>
      </c>
    </row>
    <row r="174" spans="1:12" x14ac:dyDescent="0.25">
      <c r="A174" s="158" t="s">
        <v>923</v>
      </c>
      <c r="B174" s="158" t="s">
        <v>417</v>
      </c>
      <c r="C174" s="168" t="s">
        <v>285</v>
      </c>
      <c r="D174" s="167">
        <v>9195394899</v>
      </c>
      <c r="E174" s="166">
        <v>302598687</v>
      </c>
      <c r="F174" s="158" t="s">
        <v>256</v>
      </c>
      <c r="G174" s="165">
        <v>34814</v>
      </c>
      <c r="H174" s="51">
        <f t="shared" ca="1" si="4"/>
        <v>21</v>
      </c>
      <c r="I174" s="164" t="str">
        <f t="shared" si="5"/>
        <v>April</v>
      </c>
      <c r="J174" s="52" t="s">
        <v>257</v>
      </c>
      <c r="K174" s="53">
        <v>38208</v>
      </c>
      <c r="L174" s="163">
        <v>1</v>
      </c>
    </row>
    <row r="175" spans="1:12" x14ac:dyDescent="0.25">
      <c r="A175" s="169" t="s">
        <v>265</v>
      </c>
      <c r="B175" s="158" t="s">
        <v>417</v>
      </c>
      <c r="C175" s="168" t="s">
        <v>271</v>
      </c>
      <c r="D175" s="167">
        <v>9191264786</v>
      </c>
      <c r="E175" s="166">
        <v>622274162</v>
      </c>
      <c r="F175" s="158" t="s">
        <v>247</v>
      </c>
      <c r="G175" s="165">
        <v>35499</v>
      </c>
      <c r="H175" s="51">
        <f t="shared" ca="1" si="4"/>
        <v>19</v>
      </c>
      <c r="I175" s="164" t="str">
        <f t="shared" si="5"/>
        <v>March</v>
      </c>
      <c r="J175" s="52"/>
      <c r="K175" s="53">
        <v>31632</v>
      </c>
      <c r="L175" s="163">
        <v>4</v>
      </c>
    </row>
    <row r="176" spans="1:12" x14ac:dyDescent="0.25">
      <c r="A176" s="158" t="s">
        <v>860</v>
      </c>
      <c r="B176" s="158" t="s">
        <v>456</v>
      </c>
      <c r="C176" s="168" t="s">
        <v>280</v>
      </c>
      <c r="D176" s="167">
        <v>9191351512</v>
      </c>
      <c r="E176" s="166">
        <v>477110649</v>
      </c>
      <c r="F176" s="158" t="s">
        <v>256</v>
      </c>
      <c r="G176" s="165">
        <v>37771</v>
      </c>
      <c r="H176" s="51">
        <f t="shared" ca="1" si="4"/>
        <v>13</v>
      </c>
      <c r="I176" s="164" t="str">
        <f t="shared" si="5"/>
        <v>May</v>
      </c>
      <c r="J176" s="52" t="s">
        <v>262</v>
      </c>
      <c r="K176" s="53">
        <v>54180</v>
      </c>
      <c r="L176" s="163">
        <v>1</v>
      </c>
    </row>
    <row r="177" spans="1:12" x14ac:dyDescent="0.25">
      <c r="A177" s="158" t="s">
        <v>495</v>
      </c>
      <c r="B177" s="158" t="s">
        <v>456</v>
      </c>
      <c r="C177" s="168" t="s">
        <v>271</v>
      </c>
      <c r="D177" s="167">
        <v>9196632360</v>
      </c>
      <c r="E177" s="166">
        <v>861884260</v>
      </c>
      <c r="F177" s="158" t="s">
        <v>256</v>
      </c>
      <c r="G177" s="165">
        <v>34113</v>
      </c>
      <c r="H177" s="51">
        <f t="shared" ca="1" si="4"/>
        <v>23</v>
      </c>
      <c r="I177" s="164" t="str">
        <f t="shared" si="5"/>
        <v>May</v>
      </c>
      <c r="J177" s="52" t="s">
        <v>257</v>
      </c>
      <c r="K177" s="53">
        <v>106968</v>
      </c>
      <c r="L177" s="163">
        <v>1</v>
      </c>
    </row>
    <row r="178" spans="1:12" x14ac:dyDescent="0.25">
      <c r="A178" s="158" t="s">
        <v>412</v>
      </c>
      <c r="B178" s="158" t="s">
        <v>456</v>
      </c>
      <c r="C178" s="168" t="s">
        <v>251</v>
      </c>
      <c r="D178" s="167">
        <v>9197173558</v>
      </c>
      <c r="E178" s="166">
        <v>117896630</v>
      </c>
      <c r="F178" s="158" t="s">
        <v>247</v>
      </c>
      <c r="G178" s="165">
        <v>40991</v>
      </c>
      <c r="H178" s="51">
        <f t="shared" ca="1" si="4"/>
        <v>4</v>
      </c>
      <c r="I178" s="164" t="str">
        <f t="shared" si="5"/>
        <v>March</v>
      </c>
      <c r="J178" s="52" t="s">
        <v>267</v>
      </c>
      <c r="K178" s="53">
        <v>85428</v>
      </c>
      <c r="L178" s="163">
        <v>4</v>
      </c>
    </row>
    <row r="179" spans="1:12" x14ac:dyDescent="0.25">
      <c r="A179" s="158" t="s">
        <v>511</v>
      </c>
      <c r="B179" s="158" t="s">
        <v>456</v>
      </c>
      <c r="C179" s="168" t="s">
        <v>271</v>
      </c>
      <c r="D179" s="167">
        <v>2525610944</v>
      </c>
      <c r="E179" s="166">
        <v>351268538</v>
      </c>
      <c r="F179" s="158" t="s">
        <v>252</v>
      </c>
      <c r="G179" s="165">
        <v>37247</v>
      </c>
      <c r="H179" s="51">
        <f t="shared" ca="1" si="4"/>
        <v>14</v>
      </c>
      <c r="I179" s="164" t="str">
        <f t="shared" si="5"/>
        <v>December</v>
      </c>
      <c r="J179" s="52" t="s">
        <v>283</v>
      </c>
      <c r="K179" s="53">
        <v>74232</v>
      </c>
      <c r="L179" s="163">
        <v>5</v>
      </c>
    </row>
    <row r="180" spans="1:12" x14ac:dyDescent="0.25">
      <c r="A180" s="158" t="s">
        <v>532</v>
      </c>
      <c r="B180" s="158" t="s">
        <v>456</v>
      </c>
      <c r="C180" s="168" t="s">
        <v>271</v>
      </c>
      <c r="D180" s="167">
        <v>2527577867</v>
      </c>
      <c r="E180" s="166">
        <v>244171882</v>
      </c>
      <c r="F180" s="158" t="s">
        <v>261</v>
      </c>
      <c r="G180" s="165">
        <v>35129</v>
      </c>
      <c r="H180" s="51">
        <f t="shared" ca="1" si="4"/>
        <v>20</v>
      </c>
      <c r="I180" s="164" t="str">
        <f t="shared" si="5"/>
        <v>March</v>
      </c>
      <c r="J180" s="52" t="s">
        <v>267</v>
      </c>
      <c r="K180" s="53">
        <v>107736</v>
      </c>
      <c r="L180" s="163">
        <v>4</v>
      </c>
    </row>
    <row r="181" spans="1:12" x14ac:dyDescent="0.25">
      <c r="A181" s="158" t="s">
        <v>821</v>
      </c>
      <c r="B181" s="158" t="s">
        <v>456</v>
      </c>
      <c r="C181" s="168" t="s">
        <v>285</v>
      </c>
      <c r="D181" s="167">
        <v>9191715499</v>
      </c>
      <c r="E181" s="166">
        <v>875920441</v>
      </c>
      <c r="F181" s="158" t="s">
        <v>261</v>
      </c>
      <c r="G181" s="165">
        <v>38233</v>
      </c>
      <c r="H181" s="51">
        <f t="shared" ca="1" si="4"/>
        <v>12</v>
      </c>
      <c r="I181" s="164" t="str">
        <f t="shared" si="5"/>
        <v>September</v>
      </c>
      <c r="J181" s="52" t="s">
        <v>276</v>
      </c>
      <c r="K181" s="53">
        <v>62160</v>
      </c>
      <c r="L181" s="163">
        <v>1</v>
      </c>
    </row>
    <row r="182" spans="1:12" x14ac:dyDescent="0.25">
      <c r="A182" s="158" t="s">
        <v>671</v>
      </c>
      <c r="B182" s="158" t="s">
        <v>456</v>
      </c>
      <c r="C182" s="168" t="s">
        <v>285</v>
      </c>
      <c r="D182" s="167">
        <v>2526739978</v>
      </c>
      <c r="E182" s="166">
        <v>771953685</v>
      </c>
      <c r="F182" s="158" t="s">
        <v>252</v>
      </c>
      <c r="G182" s="165">
        <v>38674</v>
      </c>
      <c r="H182" s="51">
        <f t="shared" ca="1" si="4"/>
        <v>10</v>
      </c>
      <c r="I182" s="164" t="str">
        <f t="shared" si="5"/>
        <v>November</v>
      </c>
      <c r="J182" s="52" t="s">
        <v>257</v>
      </c>
      <c r="K182" s="53">
        <v>102156</v>
      </c>
      <c r="L182" s="163">
        <v>5</v>
      </c>
    </row>
    <row r="183" spans="1:12" x14ac:dyDescent="0.25">
      <c r="A183" s="158" t="s">
        <v>698</v>
      </c>
      <c r="B183" s="158" t="s">
        <v>456</v>
      </c>
      <c r="C183" s="168" t="s">
        <v>280</v>
      </c>
      <c r="D183" s="167">
        <v>9196681578</v>
      </c>
      <c r="E183" s="166">
        <v>746497232</v>
      </c>
      <c r="F183" s="158" t="s">
        <v>247</v>
      </c>
      <c r="G183" s="165">
        <v>37401</v>
      </c>
      <c r="H183" s="51">
        <f t="shared" ca="1" si="4"/>
        <v>14</v>
      </c>
      <c r="I183" s="164" t="str">
        <f t="shared" si="5"/>
        <v>May</v>
      </c>
      <c r="J183" s="52" t="s">
        <v>283</v>
      </c>
      <c r="K183" s="53">
        <v>83292</v>
      </c>
      <c r="L183" s="163">
        <v>4</v>
      </c>
    </row>
    <row r="184" spans="1:12" x14ac:dyDescent="0.25">
      <c r="A184" s="158" t="s">
        <v>857</v>
      </c>
      <c r="B184" s="158" t="s">
        <v>465</v>
      </c>
      <c r="C184" s="168" t="s">
        <v>266</v>
      </c>
      <c r="D184" s="167">
        <v>9195627374</v>
      </c>
      <c r="E184" s="166">
        <v>484217278</v>
      </c>
      <c r="F184" s="158" t="s">
        <v>252</v>
      </c>
      <c r="G184" s="165">
        <v>40475</v>
      </c>
      <c r="H184" s="51">
        <f t="shared" ca="1" si="4"/>
        <v>6</v>
      </c>
      <c r="I184" s="164" t="str">
        <f t="shared" si="5"/>
        <v>October</v>
      </c>
      <c r="J184" s="52"/>
      <c r="K184" s="53">
        <v>12686</v>
      </c>
      <c r="L184" s="163">
        <v>4</v>
      </c>
    </row>
    <row r="185" spans="1:12" x14ac:dyDescent="0.25">
      <c r="A185" s="158" t="s">
        <v>929</v>
      </c>
      <c r="B185" s="158" t="s">
        <v>465</v>
      </c>
      <c r="C185" s="168" t="s">
        <v>266</v>
      </c>
      <c r="D185" s="167">
        <v>2526228199</v>
      </c>
      <c r="E185" s="166">
        <v>378189642</v>
      </c>
      <c r="F185" s="158" t="s">
        <v>247</v>
      </c>
      <c r="G185" s="165">
        <v>38627</v>
      </c>
      <c r="H185" s="51">
        <f t="shared" ca="1" si="4"/>
        <v>11</v>
      </c>
      <c r="I185" s="164" t="str">
        <f t="shared" si="5"/>
        <v>October</v>
      </c>
      <c r="J185" s="52"/>
      <c r="K185" s="53">
        <v>77064</v>
      </c>
      <c r="L185" s="163">
        <v>5</v>
      </c>
    </row>
    <row r="186" spans="1:12" x14ac:dyDescent="0.25">
      <c r="A186" s="158" t="s">
        <v>772</v>
      </c>
      <c r="B186" s="158" t="s">
        <v>465</v>
      </c>
      <c r="C186" s="168" t="s">
        <v>285</v>
      </c>
      <c r="D186" s="167">
        <v>9197950668</v>
      </c>
      <c r="E186" s="166">
        <v>251824309</v>
      </c>
      <c r="F186" s="158" t="s">
        <v>247</v>
      </c>
      <c r="G186" s="165">
        <v>37457</v>
      </c>
      <c r="H186" s="51">
        <f t="shared" ca="1" si="4"/>
        <v>14</v>
      </c>
      <c r="I186" s="164" t="str">
        <f t="shared" si="5"/>
        <v>July</v>
      </c>
      <c r="J186" s="52"/>
      <c r="K186" s="53">
        <v>54504</v>
      </c>
      <c r="L186" s="163">
        <v>1</v>
      </c>
    </row>
    <row r="187" spans="1:12" x14ac:dyDescent="0.25">
      <c r="A187" s="158" t="s">
        <v>862</v>
      </c>
      <c r="B187" s="158" t="s">
        <v>465</v>
      </c>
      <c r="C187" s="168" t="s">
        <v>285</v>
      </c>
      <c r="D187" s="167">
        <v>9197362525</v>
      </c>
      <c r="E187" s="166">
        <v>377194926</v>
      </c>
      <c r="F187" s="158" t="s">
        <v>256</v>
      </c>
      <c r="G187" s="165">
        <v>41331</v>
      </c>
      <c r="H187" s="51">
        <f t="shared" ca="1" si="4"/>
        <v>3</v>
      </c>
      <c r="I187" s="164" t="str">
        <f t="shared" si="5"/>
        <v>February</v>
      </c>
      <c r="J187" s="52" t="s">
        <v>267</v>
      </c>
      <c r="K187" s="53">
        <v>53112</v>
      </c>
      <c r="L187" s="163">
        <v>1</v>
      </c>
    </row>
    <row r="188" spans="1:12" x14ac:dyDescent="0.25">
      <c r="A188" s="158" t="s">
        <v>410</v>
      </c>
      <c r="B188" s="158" t="s">
        <v>465</v>
      </c>
      <c r="C188" s="168" t="s">
        <v>271</v>
      </c>
      <c r="D188" s="167">
        <v>9192212512</v>
      </c>
      <c r="E188" s="166">
        <v>147724014</v>
      </c>
      <c r="F188" s="158" t="s">
        <v>256</v>
      </c>
      <c r="G188" s="165">
        <v>35916</v>
      </c>
      <c r="H188" s="51">
        <f t="shared" ca="1" si="4"/>
        <v>18</v>
      </c>
      <c r="I188" s="164" t="str">
        <f t="shared" si="5"/>
        <v>May</v>
      </c>
      <c r="J188" s="52" t="s">
        <v>283</v>
      </c>
      <c r="K188" s="53">
        <v>53124</v>
      </c>
      <c r="L188" s="163">
        <v>2</v>
      </c>
    </row>
    <row r="189" spans="1:12" x14ac:dyDescent="0.25">
      <c r="A189" s="158" t="s">
        <v>749</v>
      </c>
      <c r="B189" s="158" t="s">
        <v>465</v>
      </c>
      <c r="C189" s="168" t="s">
        <v>280</v>
      </c>
      <c r="D189" s="167">
        <v>2521810581</v>
      </c>
      <c r="E189" s="166">
        <v>993383806</v>
      </c>
      <c r="F189" s="158" t="s">
        <v>252</v>
      </c>
      <c r="G189" s="165">
        <v>36795</v>
      </c>
      <c r="H189" s="51">
        <f t="shared" ca="1" si="4"/>
        <v>16</v>
      </c>
      <c r="I189" s="164" t="str">
        <f t="shared" si="5"/>
        <v>September</v>
      </c>
      <c r="J189" s="52"/>
      <c r="K189" s="53">
        <v>45134</v>
      </c>
      <c r="L189" s="163">
        <v>4</v>
      </c>
    </row>
    <row r="190" spans="1:12" x14ac:dyDescent="0.25">
      <c r="A190" s="158" t="s">
        <v>751</v>
      </c>
      <c r="B190" s="158" t="s">
        <v>465</v>
      </c>
      <c r="C190" s="168" t="s">
        <v>271</v>
      </c>
      <c r="D190" s="167">
        <v>9197848542</v>
      </c>
      <c r="E190" s="166">
        <v>470719383</v>
      </c>
      <c r="F190" s="158" t="s">
        <v>256</v>
      </c>
      <c r="G190" s="165">
        <v>36737</v>
      </c>
      <c r="H190" s="51">
        <f t="shared" ca="1" si="4"/>
        <v>16</v>
      </c>
      <c r="I190" s="164" t="str">
        <f t="shared" si="5"/>
        <v>July</v>
      </c>
      <c r="J190" s="52" t="s">
        <v>257</v>
      </c>
      <c r="K190" s="53">
        <v>90144</v>
      </c>
      <c r="L190" s="163">
        <v>5</v>
      </c>
    </row>
    <row r="191" spans="1:12" x14ac:dyDescent="0.25">
      <c r="A191" s="158" t="s">
        <v>709</v>
      </c>
      <c r="B191" s="158" t="s">
        <v>465</v>
      </c>
      <c r="C191" s="168" t="s">
        <v>285</v>
      </c>
      <c r="D191" s="167">
        <v>9194018412</v>
      </c>
      <c r="E191" s="166">
        <v>243062914</v>
      </c>
      <c r="F191" s="158" t="s">
        <v>256</v>
      </c>
      <c r="G191" s="165">
        <v>35927</v>
      </c>
      <c r="H191" s="51">
        <f t="shared" ca="1" si="4"/>
        <v>18</v>
      </c>
      <c r="I191" s="164" t="str">
        <f t="shared" si="5"/>
        <v>May</v>
      </c>
      <c r="J191" s="52" t="s">
        <v>257</v>
      </c>
      <c r="K191" s="53">
        <v>88140</v>
      </c>
      <c r="L191" s="163">
        <v>3</v>
      </c>
    </row>
    <row r="192" spans="1:12" x14ac:dyDescent="0.25">
      <c r="A192" s="158" t="s">
        <v>710</v>
      </c>
      <c r="B192" s="158" t="s">
        <v>465</v>
      </c>
      <c r="C192" s="168" t="s">
        <v>271</v>
      </c>
      <c r="D192" s="167">
        <v>9192712826</v>
      </c>
      <c r="E192" s="166">
        <v>853268713</v>
      </c>
      <c r="F192" s="158" t="s">
        <v>256</v>
      </c>
      <c r="G192" s="165">
        <v>36317</v>
      </c>
      <c r="H192" s="51">
        <f t="shared" ca="1" si="4"/>
        <v>17</v>
      </c>
      <c r="I192" s="164" t="str">
        <f t="shared" si="5"/>
        <v>June</v>
      </c>
      <c r="J192" s="52" t="s">
        <v>257</v>
      </c>
      <c r="K192" s="53">
        <v>72336</v>
      </c>
      <c r="L192" s="163">
        <v>1</v>
      </c>
    </row>
    <row r="193" spans="1:12" x14ac:dyDescent="0.25">
      <c r="A193" s="158" t="s">
        <v>628</v>
      </c>
      <c r="B193" s="158" t="s">
        <v>465</v>
      </c>
      <c r="C193" s="168" t="s">
        <v>271</v>
      </c>
      <c r="D193" s="167">
        <v>2524919418</v>
      </c>
      <c r="E193" s="166">
        <v>687006783</v>
      </c>
      <c r="F193" s="158" t="s">
        <v>247</v>
      </c>
      <c r="G193" s="165">
        <v>36107</v>
      </c>
      <c r="H193" s="51">
        <f t="shared" ca="1" si="4"/>
        <v>18</v>
      </c>
      <c r="I193" s="164" t="str">
        <f t="shared" si="5"/>
        <v>November</v>
      </c>
      <c r="J193" s="52"/>
      <c r="K193" s="53">
        <v>79212</v>
      </c>
      <c r="L193" s="163">
        <v>2</v>
      </c>
    </row>
    <row r="194" spans="1:12" x14ac:dyDescent="0.25">
      <c r="A194" s="158" t="s">
        <v>313</v>
      </c>
      <c r="B194" s="158" t="s">
        <v>465</v>
      </c>
      <c r="C194" s="168" t="s">
        <v>251</v>
      </c>
      <c r="D194" s="167">
        <v>9193164024</v>
      </c>
      <c r="E194" s="166">
        <v>783624212</v>
      </c>
      <c r="F194" s="158" t="s">
        <v>261</v>
      </c>
      <c r="G194" s="165">
        <v>35311</v>
      </c>
      <c r="H194" s="51">
        <f t="shared" ref="H194:H257" ca="1" si="6">DATEDIF(G194,TODAY(),"Y")</f>
        <v>20</v>
      </c>
      <c r="I194" s="164" t="str">
        <f t="shared" ref="I194:I257" si="7">CHOOSE(MONTH(G194),"January","February","March","April","May","June","July","August","September","October","November","December")</f>
        <v>September</v>
      </c>
      <c r="J194" s="52" t="s">
        <v>262</v>
      </c>
      <c r="K194" s="53">
        <v>18312</v>
      </c>
      <c r="L194" s="163">
        <v>2</v>
      </c>
    </row>
    <row r="195" spans="1:12" x14ac:dyDescent="0.25">
      <c r="A195" s="158" t="s">
        <v>775</v>
      </c>
      <c r="B195" s="158" t="s">
        <v>465</v>
      </c>
      <c r="C195" s="168" t="s">
        <v>280</v>
      </c>
      <c r="D195" s="167">
        <v>9193883356</v>
      </c>
      <c r="E195" s="166">
        <v>350104448</v>
      </c>
      <c r="F195" s="158" t="s">
        <v>256</v>
      </c>
      <c r="G195" s="165">
        <v>36257</v>
      </c>
      <c r="H195" s="51">
        <f t="shared" ca="1" si="6"/>
        <v>17</v>
      </c>
      <c r="I195" s="164" t="str">
        <f t="shared" si="7"/>
        <v>April</v>
      </c>
      <c r="J195" s="52" t="s">
        <v>267</v>
      </c>
      <c r="K195" s="53">
        <v>53904</v>
      </c>
      <c r="L195" s="163">
        <v>1</v>
      </c>
    </row>
    <row r="196" spans="1:12" x14ac:dyDescent="0.25">
      <c r="A196" s="158" t="s">
        <v>680</v>
      </c>
      <c r="B196" s="158" t="s">
        <v>465</v>
      </c>
      <c r="C196" s="168" t="s">
        <v>251</v>
      </c>
      <c r="D196" s="167">
        <v>2526505454</v>
      </c>
      <c r="E196" s="166">
        <v>311883362</v>
      </c>
      <c r="F196" s="158" t="s">
        <v>247</v>
      </c>
      <c r="G196" s="165">
        <v>38054</v>
      </c>
      <c r="H196" s="51">
        <f t="shared" ca="1" si="6"/>
        <v>12</v>
      </c>
      <c r="I196" s="164" t="str">
        <f t="shared" si="7"/>
        <v>March</v>
      </c>
      <c r="J196" s="52"/>
      <c r="K196" s="53">
        <v>63324</v>
      </c>
      <c r="L196" s="163">
        <v>2</v>
      </c>
    </row>
    <row r="197" spans="1:12" x14ac:dyDescent="0.25">
      <c r="A197" s="158" t="s">
        <v>478</v>
      </c>
      <c r="B197" s="158" t="s">
        <v>465</v>
      </c>
      <c r="C197" s="168" t="s">
        <v>251</v>
      </c>
      <c r="D197" s="167">
        <v>9193557946</v>
      </c>
      <c r="E197" s="166">
        <v>317844971</v>
      </c>
      <c r="F197" s="158" t="s">
        <v>247</v>
      </c>
      <c r="G197" s="165">
        <v>36655</v>
      </c>
      <c r="H197" s="51">
        <f t="shared" ca="1" si="6"/>
        <v>16</v>
      </c>
      <c r="I197" s="164" t="str">
        <f t="shared" si="7"/>
        <v>May</v>
      </c>
      <c r="J197" s="52"/>
      <c r="K197" s="53">
        <v>92292</v>
      </c>
      <c r="L197" s="163">
        <v>1</v>
      </c>
    </row>
    <row r="198" spans="1:12" x14ac:dyDescent="0.25">
      <c r="A198" s="158" t="s">
        <v>481</v>
      </c>
      <c r="B198" s="158" t="s">
        <v>465</v>
      </c>
      <c r="C198" s="168" t="s">
        <v>271</v>
      </c>
      <c r="D198" s="167">
        <v>2523922629</v>
      </c>
      <c r="E198" s="166">
        <v>592631929</v>
      </c>
      <c r="F198" s="158" t="s">
        <v>247</v>
      </c>
      <c r="G198" s="165">
        <v>36077</v>
      </c>
      <c r="H198" s="51">
        <f t="shared" ca="1" si="6"/>
        <v>18</v>
      </c>
      <c r="I198" s="164" t="str">
        <f t="shared" si="7"/>
        <v>October</v>
      </c>
      <c r="J198" s="52"/>
      <c r="K198" s="53">
        <v>63528</v>
      </c>
      <c r="L198" s="163">
        <v>4</v>
      </c>
    </row>
    <row r="199" spans="1:12" x14ac:dyDescent="0.25">
      <c r="A199" s="158" t="s">
        <v>482</v>
      </c>
      <c r="B199" s="158" t="s">
        <v>465</v>
      </c>
      <c r="C199" s="168" t="s">
        <v>271</v>
      </c>
      <c r="D199" s="167">
        <v>9197775023</v>
      </c>
      <c r="E199" s="166">
        <v>257249459</v>
      </c>
      <c r="F199" s="158" t="s">
        <v>247</v>
      </c>
      <c r="G199" s="165">
        <v>37365</v>
      </c>
      <c r="H199" s="51">
        <f t="shared" ca="1" si="6"/>
        <v>14</v>
      </c>
      <c r="I199" s="164" t="str">
        <f t="shared" si="7"/>
        <v>April</v>
      </c>
      <c r="J199" s="52"/>
      <c r="K199" s="53">
        <v>69120</v>
      </c>
      <c r="L199" s="163">
        <v>3</v>
      </c>
    </row>
    <row r="200" spans="1:12" x14ac:dyDescent="0.25">
      <c r="A200" s="158" t="s">
        <v>483</v>
      </c>
      <c r="B200" s="158" t="s">
        <v>465</v>
      </c>
      <c r="C200" s="168" t="s">
        <v>251</v>
      </c>
      <c r="D200" s="167">
        <v>2524252315</v>
      </c>
      <c r="E200" s="166">
        <v>338977629</v>
      </c>
      <c r="F200" s="158" t="s">
        <v>256</v>
      </c>
      <c r="G200" s="165">
        <v>36529</v>
      </c>
      <c r="H200" s="51">
        <f t="shared" ca="1" si="6"/>
        <v>16</v>
      </c>
      <c r="I200" s="164" t="str">
        <f t="shared" si="7"/>
        <v>January</v>
      </c>
      <c r="J200" s="52" t="s">
        <v>257</v>
      </c>
      <c r="K200" s="53">
        <v>94284</v>
      </c>
      <c r="L200" s="163">
        <v>1</v>
      </c>
    </row>
    <row r="201" spans="1:12" x14ac:dyDescent="0.25">
      <c r="A201" s="158" t="s">
        <v>681</v>
      </c>
      <c r="B201" s="158" t="s">
        <v>465</v>
      </c>
      <c r="C201" s="168" t="s">
        <v>285</v>
      </c>
      <c r="D201" s="167">
        <v>2521257896</v>
      </c>
      <c r="E201" s="166">
        <v>337943008</v>
      </c>
      <c r="F201" s="158" t="s">
        <v>256</v>
      </c>
      <c r="G201" s="165">
        <v>38122</v>
      </c>
      <c r="H201" s="51">
        <f t="shared" ca="1" si="6"/>
        <v>12</v>
      </c>
      <c r="I201" s="164" t="str">
        <f t="shared" si="7"/>
        <v>May</v>
      </c>
      <c r="J201" s="52" t="s">
        <v>257</v>
      </c>
      <c r="K201" s="53">
        <v>34764</v>
      </c>
      <c r="L201" s="163">
        <v>3</v>
      </c>
    </row>
    <row r="202" spans="1:12" x14ac:dyDescent="0.25">
      <c r="A202" s="158" t="s">
        <v>315</v>
      </c>
      <c r="B202" s="158" t="s">
        <v>465</v>
      </c>
      <c r="C202" s="168" t="s">
        <v>266</v>
      </c>
      <c r="D202" s="167">
        <v>9193547588</v>
      </c>
      <c r="E202" s="166">
        <v>858800513</v>
      </c>
      <c r="F202" s="158" t="s">
        <v>256</v>
      </c>
      <c r="G202" s="165">
        <v>40040</v>
      </c>
      <c r="H202" s="51">
        <f t="shared" ca="1" si="6"/>
        <v>7</v>
      </c>
      <c r="I202" s="164" t="str">
        <f t="shared" si="7"/>
        <v>August</v>
      </c>
      <c r="J202" s="52" t="s">
        <v>262</v>
      </c>
      <c r="K202" s="53">
        <v>85236</v>
      </c>
      <c r="L202" s="163">
        <v>3</v>
      </c>
    </row>
    <row r="203" spans="1:12" x14ac:dyDescent="0.25">
      <c r="A203" s="158" t="s">
        <v>633</v>
      </c>
      <c r="B203" s="158" t="s">
        <v>465</v>
      </c>
      <c r="C203" s="168" t="s">
        <v>285</v>
      </c>
      <c r="D203" s="167">
        <v>2527358099</v>
      </c>
      <c r="E203" s="166">
        <v>876777922</v>
      </c>
      <c r="F203" s="158" t="s">
        <v>247</v>
      </c>
      <c r="G203" s="165">
        <v>41177</v>
      </c>
      <c r="H203" s="51">
        <f t="shared" ca="1" si="6"/>
        <v>4</v>
      </c>
      <c r="I203" s="164" t="str">
        <f t="shared" si="7"/>
        <v>September</v>
      </c>
      <c r="J203" s="52"/>
      <c r="K203" s="53">
        <v>106608</v>
      </c>
      <c r="L203" s="163">
        <v>5</v>
      </c>
    </row>
    <row r="204" spans="1:12" x14ac:dyDescent="0.25">
      <c r="A204" s="158" t="s">
        <v>634</v>
      </c>
      <c r="B204" s="158" t="s">
        <v>465</v>
      </c>
      <c r="C204" s="168" t="s">
        <v>271</v>
      </c>
      <c r="D204" s="167">
        <v>2524854867</v>
      </c>
      <c r="E204" s="166">
        <v>930314379</v>
      </c>
      <c r="F204" s="158" t="s">
        <v>256</v>
      </c>
      <c r="G204" s="165">
        <v>40118</v>
      </c>
      <c r="H204" s="51">
        <f t="shared" ca="1" si="6"/>
        <v>7</v>
      </c>
      <c r="I204" s="164" t="str">
        <f t="shared" si="7"/>
        <v>November</v>
      </c>
      <c r="J204" s="52" t="s">
        <v>267</v>
      </c>
      <c r="K204" s="53">
        <v>85788</v>
      </c>
      <c r="L204" s="163">
        <v>5</v>
      </c>
    </row>
    <row r="205" spans="1:12" x14ac:dyDescent="0.25">
      <c r="A205" s="158" t="s">
        <v>489</v>
      </c>
      <c r="B205" s="158" t="s">
        <v>465</v>
      </c>
      <c r="C205" s="168" t="s">
        <v>285</v>
      </c>
      <c r="D205" s="167">
        <v>2524248455</v>
      </c>
      <c r="E205" s="166">
        <v>589649495</v>
      </c>
      <c r="F205" s="158" t="s">
        <v>256</v>
      </c>
      <c r="G205" s="165">
        <v>37435</v>
      </c>
      <c r="H205" s="51">
        <f t="shared" ca="1" si="6"/>
        <v>14</v>
      </c>
      <c r="I205" s="164" t="str">
        <f t="shared" si="7"/>
        <v>June</v>
      </c>
      <c r="J205" s="52" t="s">
        <v>276</v>
      </c>
      <c r="K205" s="53">
        <v>46644</v>
      </c>
      <c r="L205" s="163">
        <v>2</v>
      </c>
    </row>
    <row r="206" spans="1:12" x14ac:dyDescent="0.25">
      <c r="A206" s="158" t="s">
        <v>782</v>
      </c>
      <c r="B206" s="158" t="s">
        <v>465</v>
      </c>
      <c r="C206" s="168" t="s">
        <v>271</v>
      </c>
      <c r="D206" s="167">
        <v>9198213594</v>
      </c>
      <c r="E206" s="166">
        <v>387517948</v>
      </c>
      <c r="F206" s="158" t="s">
        <v>256</v>
      </c>
      <c r="G206" s="165">
        <v>41362</v>
      </c>
      <c r="H206" s="51">
        <f t="shared" ca="1" si="6"/>
        <v>3</v>
      </c>
      <c r="I206" s="164" t="str">
        <f t="shared" si="7"/>
        <v>March</v>
      </c>
      <c r="J206" s="52" t="s">
        <v>257</v>
      </c>
      <c r="K206" s="53">
        <v>56928</v>
      </c>
      <c r="L206" s="163">
        <v>3</v>
      </c>
    </row>
    <row r="207" spans="1:12" x14ac:dyDescent="0.25">
      <c r="A207" s="158" t="s">
        <v>492</v>
      </c>
      <c r="B207" s="158" t="s">
        <v>465</v>
      </c>
      <c r="C207" s="168" t="s">
        <v>271</v>
      </c>
      <c r="D207" s="167">
        <v>9191397811</v>
      </c>
      <c r="E207" s="166">
        <v>931105030</v>
      </c>
      <c r="F207" s="158" t="s">
        <v>256</v>
      </c>
      <c r="G207" s="165">
        <v>37001</v>
      </c>
      <c r="H207" s="51">
        <f t="shared" ca="1" si="6"/>
        <v>15</v>
      </c>
      <c r="I207" s="164" t="str">
        <f t="shared" si="7"/>
        <v>April</v>
      </c>
      <c r="J207" s="52" t="s">
        <v>283</v>
      </c>
      <c r="K207" s="53">
        <v>73596</v>
      </c>
      <c r="L207" s="163">
        <v>4</v>
      </c>
    </row>
    <row r="208" spans="1:12" x14ac:dyDescent="0.25">
      <c r="A208" s="158" t="s">
        <v>869</v>
      </c>
      <c r="B208" s="158" t="s">
        <v>465</v>
      </c>
      <c r="C208" s="168" t="s">
        <v>271</v>
      </c>
      <c r="D208" s="167">
        <v>9194944596</v>
      </c>
      <c r="E208" s="166">
        <v>820244290</v>
      </c>
      <c r="F208" s="158" t="s">
        <v>247</v>
      </c>
      <c r="G208" s="165">
        <v>34707</v>
      </c>
      <c r="H208" s="51">
        <f t="shared" ca="1" si="6"/>
        <v>21</v>
      </c>
      <c r="I208" s="164" t="str">
        <f t="shared" si="7"/>
        <v>January</v>
      </c>
      <c r="J208" s="52"/>
      <c r="K208" s="53">
        <v>88788</v>
      </c>
      <c r="L208" s="163">
        <v>3</v>
      </c>
    </row>
    <row r="209" spans="1:12" x14ac:dyDescent="0.25">
      <c r="A209" s="158" t="s">
        <v>635</v>
      </c>
      <c r="B209" s="158" t="s">
        <v>465</v>
      </c>
      <c r="C209" s="168" t="s">
        <v>285</v>
      </c>
      <c r="D209" s="167">
        <v>9197662359</v>
      </c>
      <c r="E209" s="166">
        <v>291715078</v>
      </c>
      <c r="F209" s="158" t="s">
        <v>256</v>
      </c>
      <c r="G209" s="165">
        <v>34341</v>
      </c>
      <c r="H209" s="51">
        <f t="shared" ca="1" si="6"/>
        <v>22</v>
      </c>
      <c r="I209" s="164" t="str">
        <f t="shared" si="7"/>
        <v>January</v>
      </c>
      <c r="J209" s="52" t="s">
        <v>586</v>
      </c>
      <c r="K209" s="53">
        <v>68280</v>
      </c>
      <c r="L209" s="163">
        <v>5</v>
      </c>
    </row>
    <row r="210" spans="1:12" x14ac:dyDescent="0.25">
      <c r="A210" s="158" t="s">
        <v>785</v>
      </c>
      <c r="B210" s="158" t="s">
        <v>465</v>
      </c>
      <c r="C210" s="168" t="s">
        <v>285</v>
      </c>
      <c r="D210" s="167">
        <v>9191163627</v>
      </c>
      <c r="E210" s="166">
        <v>682500261</v>
      </c>
      <c r="F210" s="158" t="s">
        <v>256</v>
      </c>
      <c r="G210" s="165">
        <v>35609</v>
      </c>
      <c r="H210" s="51">
        <f t="shared" ca="1" si="6"/>
        <v>19</v>
      </c>
      <c r="I210" s="164" t="str">
        <f t="shared" si="7"/>
        <v>June</v>
      </c>
      <c r="J210" s="52" t="s">
        <v>262</v>
      </c>
      <c r="K210" s="53">
        <v>75684</v>
      </c>
      <c r="L210" s="163">
        <v>1</v>
      </c>
    </row>
    <row r="211" spans="1:12" x14ac:dyDescent="0.25">
      <c r="A211" s="158" t="s">
        <v>493</v>
      </c>
      <c r="B211" s="158" t="s">
        <v>465</v>
      </c>
      <c r="C211" s="168" t="s">
        <v>266</v>
      </c>
      <c r="D211" s="167">
        <v>9196969994</v>
      </c>
      <c r="E211" s="166">
        <v>425634540</v>
      </c>
      <c r="F211" s="158" t="s">
        <v>256</v>
      </c>
      <c r="G211" s="165">
        <v>40903</v>
      </c>
      <c r="H211" s="51">
        <f t="shared" ca="1" si="6"/>
        <v>4</v>
      </c>
      <c r="I211" s="164" t="str">
        <f t="shared" si="7"/>
        <v>December</v>
      </c>
      <c r="J211" s="52" t="s">
        <v>267</v>
      </c>
      <c r="K211" s="53">
        <v>41628</v>
      </c>
      <c r="L211" s="163">
        <v>2</v>
      </c>
    </row>
    <row r="212" spans="1:12" x14ac:dyDescent="0.25">
      <c r="A212" s="158" t="s">
        <v>316</v>
      </c>
      <c r="B212" s="158" t="s">
        <v>465</v>
      </c>
      <c r="C212" s="168" t="s">
        <v>251</v>
      </c>
      <c r="D212" s="167">
        <v>2521280865</v>
      </c>
      <c r="E212" s="166">
        <v>884025623</v>
      </c>
      <c r="F212" s="158" t="s">
        <v>247</v>
      </c>
      <c r="G212" s="165">
        <v>34759</v>
      </c>
      <c r="H212" s="51">
        <f t="shared" ca="1" si="6"/>
        <v>21</v>
      </c>
      <c r="I212" s="164" t="str">
        <f t="shared" si="7"/>
        <v>March</v>
      </c>
      <c r="J212" s="52"/>
      <c r="K212" s="53">
        <v>77316</v>
      </c>
      <c r="L212" s="163">
        <v>4</v>
      </c>
    </row>
    <row r="213" spans="1:12" x14ac:dyDescent="0.25">
      <c r="A213" s="158" t="s">
        <v>940</v>
      </c>
      <c r="B213" s="158" t="s">
        <v>465</v>
      </c>
      <c r="C213" s="168" t="s">
        <v>285</v>
      </c>
      <c r="D213" s="167">
        <v>9198413271</v>
      </c>
      <c r="E213" s="166">
        <v>482927373</v>
      </c>
      <c r="F213" s="158" t="s">
        <v>256</v>
      </c>
      <c r="G213" s="165">
        <v>36254</v>
      </c>
      <c r="H213" s="51">
        <f t="shared" ca="1" si="6"/>
        <v>17</v>
      </c>
      <c r="I213" s="164" t="str">
        <f t="shared" si="7"/>
        <v>April</v>
      </c>
      <c r="J213" s="52" t="s">
        <v>283</v>
      </c>
      <c r="K213" s="53">
        <v>38868</v>
      </c>
      <c r="L213" s="163">
        <v>2</v>
      </c>
    </row>
    <row r="214" spans="1:12" x14ac:dyDescent="0.25">
      <c r="A214" s="158" t="s">
        <v>423</v>
      </c>
      <c r="B214" s="158" t="s">
        <v>465</v>
      </c>
      <c r="C214" s="168" t="s">
        <v>245</v>
      </c>
      <c r="D214" s="167">
        <v>9193184277</v>
      </c>
      <c r="E214" s="166">
        <v>313128501</v>
      </c>
      <c r="F214" s="158" t="s">
        <v>252</v>
      </c>
      <c r="G214" s="165">
        <v>36218</v>
      </c>
      <c r="H214" s="51">
        <f t="shared" ca="1" si="6"/>
        <v>17</v>
      </c>
      <c r="I214" s="164" t="str">
        <f t="shared" si="7"/>
        <v>February</v>
      </c>
      <c r="J214" s="52"/>
      <c r="K214" s="53">
        <v>26966</v>
      </c>
      <c r="L214" s="163">
        <v>1</v>
      </c>
    </row>
    <row r="215" spans="1:12" x14ac:dyDescent="0.25">
      <c r="A215" s="158" t="s">
        <v>502</v>
      </c>
      <c r="B215" s="158" t="s">
        <v>465</v>
      </c>
      <c r="C215" s="168" t="s">
        <v>271</v>
      </c>
      <c r="D215" s="167">
        <v>9198367725</v>
      </c>
      <c r="E215" s="166">
        <v>332289257</v>
      </c>
      <c r="F215" s="158" t="s">
        <v>247</v>
      </c>
      <c r="G215" s="165">
        <v>36720</v>
      </c>
      <c r="H215" s="51">
        <f t="shared" ca="1" si="6"/>
        <v>16</v>
      </c>
      <c r="I215" s="164" t="str">
        <f t="shared" si="7"/>
        <v>July</v>
      </c>
      <c r="J215" s="52"/>
      <c r="K215" s="53">
        <v>81912</v>
      </c>
      <c r="L215" s="163">
        <v>5</v>
      </c>
    </row>
    <row r="216" spans="1:12" x14ac:dyDescent="0.25">
      <c r="A216" s="158" t="s">
        <v>507</v>
      </c>
      <c r="B216" s="158" t="s">
        <v>465</v>
      </c>
      <c r="C216" s="168" t="s">
        <v>245</v>
      </c>
      <c r="D216" s="167">
        <v>2522433774</v>
      </c>
      <c r="E216" s="166">
        <v>561968668</v>
      </c>
      <c r="F216" s="158" t="s">
        <v>256</v>
      </c>
      <c r="G216" s="165">
        <v>39537</v>
      </c>
      <c r="H216" s="51">
        <f t="shared" ca="1" si="6"/>
        <v>8</v>
      </c>
      <c r="I216" s="164" t="str">
        <f t="shared" si="7"/>
        <v>March</v>
      </c>
      <c r="J216" s="52" t="s">
        <v>262</v>
      </c>
      <c r="K216" s="53">
        <v>91901</v>
      </c>
      <c r="L216" s="163">
        <v>1</v>
      </c>
    </row>
    <row r="217" spans="1:12" x14ac:dyDescent="0.25">
      <c r="A217" s="158" t="s">
        <v>320</v>
      </c>
      <c r="B217" s="158" t="s">
        <v>465</v>
      </c>
      <c r="C217" s="168" t="s">
        <v>285</v>
      </c>
      <c r="D217" s="167">
        <v>9193386758</v>
      </c>
      <c r="E217" s="166">
        <v>564908088</v>
      </c>
      <c r="F217" s="158" t="s">
        <v>256</v>
      </c>
      <c r="G217" s="165">
        <v>39105</v>
      </c>
      <c r="H217" s="51">
        <f t="shared" ca="1" si="6"/>
        <v>9</v>
      </c>
      <c r="I217" s="164" t="str">
        <f t="shared" si="7"/>
        <v>January</v>
      </c>
      <c r="J217" s="52" t="s">
        <v>257</v>
      </c>
      <c r="K217" s="53">
        <v>105312</v>
      </c>
      <c r="L217" s="163">
        <v>1</v>
      </c>
    </row>
    <row r="218" spans="1:12" x14ac:dyDescent="0.25">
      <c r="A218" s="158" t="s">
        <v>789</v>
      </c>
      <c r="B218" s="158" t="s">
        <v>465</v>
      </c>
      <c r="C218" s="168" t="s">
        <v>271</v>
      </c>
      <c r="D218" s="167">
        <v>2524999647</v>
      </c>
      <c r="E218" s="166">
        <v>506577536</v>
      </c>
      <c r="F218" s="158" t="s">
        <v>252</v>
      </c>
      <c r="G218" s="165">
        <v>37033</v>
      </c>
      <c r="H218" s="51">
        <f t="shared" ca="1" si="6"/>
        <v>15</v>
      </c>
      <c r="I218" s="164" t="str">
        <f t="shared" si="7"/>
        <v>May</v>
      </c>
      <c r="J218" s="52"/>
      <c r="K218" s="53">
        <v>11309</v>
      </c>
      <c r="L218" s="163">
        <v>4</v>
      </c>
    </row>
    <row r="219" spans="1:12" x14ac:dyDescent="0.25">
      <c r="A219" s="158" t="s">
        <v>714</v>
      </c>
      <c r="B219" s="158" t="s">
        <v>465</v>
      </c>
      <c r="C219" s="168" t="s">
        <v>266</v>
      </c>
      <c r="D219" s="167">
        <v>9196194175</v>
      </c>
      <c r="E219" s="166">
        <v>596641549</v>
      </c>
      <c r="F219" s="158" t="s">
        <v>247</v>
      </c>
      <c r="G219" s="165">
        <v>37078</v>
      </c>
      <c r="H219" s="51">
        <f t="shared" ca="1" si="6"/>
        <v>15</v>
      </c>
      <c r="I219" s="164" t="str">
        <f t="shared" si="7"/>
        <v>July</v>
      </c>
      <c r="J219" s="52"/>
      <c r="K219" s="53">
        <v>32856</v>
      </c>
      <c r="L219" s="163">
        <v>3</v>
      </c>
    </row>
    <row r="220" spans="1:12" x14ac:dyDescent="0.25">
      <c r="A220" s="158" t="s">
        <v>876</v>
      </c>
      <c r="B220" s="158" t="s">
        <v>465</v>
      </c>
      <c r="C220" s="168" t="s">
        <v>251</v>
      </c>
      <c r="D220" s="167">
        <v>2525725646</v>
      </c>
      <c r="E220" s="166">
        <v>944793994</v>
      </c>
      <c r="F220" s="158" t="s">
        <v>256</v>
      </c>
      <c r="G220" s="165">
        <v>35513</v>
      </c>
      <c r="H220" s="51">
        <f t="shared" ca="1" si="6"/>
        <v>19</v>
      </c>
      <c r="I220" s="164" t="str">
        <f t="shared" si="7"/>
        <v>March</v>
      </c>
      <c r="J220" s="52" t="s">
        <v>257</v>
      </c>
      <c r="K220" s="53">
        <v>29160</v>
      </c>
      <c r="L220" s="163">
        <v>3</v>
      </c>
    </row>
    <row r="221" spans="1:12" x14ac:dyDescent="0.25">
      <c r="A221" s="158" t="s">
        <v>510</v>
      </c>
      <c r="B221" s="158" t="s">
        <v>465</v>
      </c>
      <c r="C221" s="168" t="s">
        <v>266</v>
      </c>
      <c r="D221" s="167">
        <v>2523122603</v>
      </c>
      <c r="E221" s="166">
        <v>590896401</v>
      </c>
      <c r="F221" s="158" t="s">
        <v>256</v>
      </c>
      <c r="G221" s="165">
        <v>39049</v>
      </c>
      <c r="H221" s="51">
        <f t="shared" ca="1" si="6"/>
        <v>9</v>
      </c>
      <c r="I221" s="164" t="str">
        <f t="shared" si="7"/>
        <v>November</v>
      </c>
      <c r="J221" s="52" t="s">
        <v>262</v>
      </c>
      <c r="K221" s="53">
        <v>84912</v>
      </c>
      <c r="L221" s="163">
        <v>1</v>
      </c>
    </row>
    <row r="222" spans="1:12" x14ac:dyDescent="0.25">
      <c r="A222" s="158" t="s">
        <v>755</v>
      </c>
      <c r="B222" s="158" t="s">
        <v>465</v>
      </c>
      <c r="C222" s="168" t="s">
        <v>271</v>
      </c>
      <c r="D222" s="167">
        <v>2523431009</v>
      </c>
      <c r="E222" s="166">
        <v>462995574</v>
      </c>
      <c r="F222" s="158" t="s">
        <v>256</v>
      </c>
      <c r="G222" s="165">
        <v>36829</v>
      </c>
      <c r="H222" s="51">
        <f t="shared" ca="1" si="6"/>
        <v>16</v>
      </c>
      <c r="I222" s="164" t="str">
        <f t="shared" si="7"/>
        <v>October</v>
      </c>
      <c r="J222" s="52" t="s">
        <v>257</v>
      </c>
      <c r="K222" s="53">
        <v>105888</v>
      </c>
      <c r="L222" s="163">
        <v>5</v>
      </c>
    </row>
    <row r="223" spans="1:12" x14ac:dyDescent="0.25">
      <c r="A223" s="158" t="s">
        <v>792</v>
      </c>
      <c r="B223" s="158" t="s">
        <v>465</v>
      </c>
      <c r="C223" s="168" t="s">
        <v>285</v>
      </c>
      <c r="D223" s="167">
        <v>2526966637</v>
      </c>
      <c r="E223" s="166">
        <v>110547055</v>
      </c>
      <c r="F223" s="158" t="s">
        <v>261</v>
      </c>
      <c r="G223" s="165">
        <v>37088</v>
      </c>
      <c r="H223" s="51">
        <f t="shared" ca="1" si="6"/>
        <v>15</v>
      </c>
      <c r="I223" s="164" t="str">
        <f t="shared" si="7"/>
        <v>July</v>
      </c>
      <c r="J223" s="52" t="s">
        <v>283</v>
      </c>
      <c r="K223" s="53">
        <v>13278</v>
      </c>
      <c r="L223" s="163">
        <v>1</v>
      </c>
    </row>
    <row r="224" spans="1:12" x14ac:dyDescent="0.25">
      <c r="A224" s="158" t="s">
        <v>514</v>
      </c>
      <c r="B224" s="158" t="s">
        <v>465</v>
      </c>
      <c r="C224" s="168" t="s">
        <v>280</v>
      </c>
      <c r="D224" s="167">
        <v>9196607355</v>
      </c>
      <c r="E224" s="166">
        <v>826450563</v>
      </c>
      <c r="F224" s="158" t="s">
        <v>247</v>
      </c>
      <c r="G224" s="165">
        <v>37432</v>
      </c>
      <c r="H224" s="51">
        <f t="shared" ca="1" si="6"/>
        <v>14</v>
      </c>
      <c r="I224" s="164" t="str">
        <f t="shared" si="7"/>
        <v>June</v>
      </c>
      <c r="J224" s="52"/>
      <c r="K224" s="53">
        <v>69312</v>
      </c>
      <c r="L224" s="163">
        <v>3</v>
      </c>
    </row>
    <row r="225" spans="1:12" x14ac:dyDescent="0.25">
      <c r="A225" s="158" t="s">
        <v>515</v>
      </c>
      <c r="B225" s="158" t="s">
        <v>465</v>
      </c>
      <c r="C225" s="168" t="s">
        <v>251</v>
      </c>
      <c r="D225" s="167">
        <v>2527710498</v>
      </c>
      <c r="E225" s="166">
        <v>696435191</v>
      </c>
      <c r="F225" s="158" t="s">
        <v>256</v>
      </c>
      <c r="G225" s="165">
        <v>36319</v>
      </c>
      <c r="H225" s="51">
        <f t="shared" ca="1" si="6"/>
        <v>17</v>
      </c>
      <c r="I225" s="164" t="str">
        <f t="shared" si="7"/>
        <v>June</v>
      </c>
      <c r="J225" s="52" t="s">
        <v>283</v>
      </c>
      <c r="K225" s="53">
        <v>73380</v>
      </c>
      <c r="L225" s="163">
        <v>2</v>
      </c>
    </row>
    <row r="226" spans="1:12" x14ac:dyDescent="0.25">
      <c r="A226" s="158" t="s">
        <v>878</v>
      </c>
      <c r="B226" s="158" t="s">
        <v>465</v>
      </c>
      <c r="C226" s="168" t="s">
        <v>266</v>
      </c>
      <c r="D226" s="167">
        <v>2527172882</v>
      </c>
      <c r="E226" s="166">
        <v>143534593</v>
      </c>
      <c r="F226" s="158" t="s">
        <v>247</v>
      </c>
      <c r="G226" s="165">
        <v>38548</v>
      </c>
      <c r="H226" s="51">
        <f t="shared" ca="1" si="6"/>
        <v>11</v>
      </c>
      <c r="I226" s="164" t="str">
        <f t="shared" si="7"/>
        <v>July</v>
      </c>
      <c r="J226" s="52"/>
      <c r="K226" s="53">
        <v>90504</v>
      </c>
      <c r="L226" s="163">
        <v>1</v>
      </c>
    </row>
    <row r="227" spans="1:12" x14ac:dyDescent="0.25">
      <c r="A227" s="158" t="s">
        <v>879</v>
      </c>
      <c r="B227" s="158" t="s">
        <v>465</v>
      </c>
      <c r="C227" s="168" t="s">
        <v>271</v>
      </c>
      <c r="D227" s="167">
        <v>2522064219</v>
      </c>
      <c r="E227" s="166">
        <v>384454025</v>
      </c>
      <c r="F227" s="158" t="s">
        <v>247</v>
      </c>
      <c r="G227" s="165">
        <v>37183</v>
      </c>
      <c r="H227" s="51">
        <f t="shared" ca="1" si="6"/>
        <v>15</v>
      </c>
      <c r="I227" s="164" t="str">
        <f t="shared" si="7"/>
        <v>October</v>
      </c>
      <c r="J227" s="52"/>
      <c r="K227" s="53">
        <v>28572</v>
      </c>
      <c r="L227" s="163">
        <v>4</v>
      </c>
    </row>
    <row r="228" spans="1:12" x14ac:dyDescent="0.25">
      <c r="A228" s="158" t="s">
        <v>685</v>
      </c>
      <c r="B228" s="158" t="s">
        <v>465</v>
      </c>
      <c r="C228" s="168" t="s">
        <v>245</v>
      </c>
      <c r="D228" s="167">
        <v>9192168237</v>
      </c>
      <c r="E228" s="166">
        <v>566726453</v>
      </c>
      <c r="F228" s="158" t="s">
        <v>256</v>
      </c>
      <c r="G228" s="165">
        <v>35748</v>
      </c>
      <c r="H228" s="51">
        <f t="shared" ca="1" si="6"/>
        <v>19</v>
      </c>
      <c r="I228" s="164" t="str">
        <f t="shared" si="7"/>
        <v>November</v>
      </c>
      <c r="J228" s="52" t="s">
        <v>262</v>
      </c>
      <c r="K228" s="53">
        <v>46728</v>
      </c>
      <c r="L228" s="163">
        <v>2</v>
      </c>
    </row>
    <row r="229" spans="1:12" x14ac:dyDescent="0.25">
      <c r="A229" s="158" t="s">
        <v>799</v>
      </c>
      <c r="B229" s="158" t="s">
        <v>465</v>
      </c>
      <c r="C229" s="168" t="s">
        <v>285</v>
      </c>
      <c r="D229" s="167">
        <v>9194888110</v>
      </c>
      <c r="E229" s="166">
        <v>559376297</v>
      </c>
      <c r="F229" s="158" t="s">
        <v>256</v>
      </c>
      <c r="G229" s="165">
        <v>37159</v>
      </c>
      <c r="H229" s="51">
        <f t="shared" ca="1" si="6"/>
        <v>15</v>
      </c>
      <c r="I229" s="164" t="str">
        <f t="shared" si="7"/>
        <v>September</v>
      </c>
      <c r="J229" s="52" t="s">
        <v>257</v>
      </c>
      <c r="K229" s="53">
        <v>42984</v>
      </c>
      <c r="L229" s="163">
        <v>2</v>
      </c>
    </row>
    <row r="230" spans="1:12" x14ac:dyDescent="0.25">
      <c r="A230" s="158" t="s">
        <v>519</v>
      </c>
      <c r="B230" s="158" t="s">
        <v>465</v>
      </c>
      <c r="C230" s="168" t="s">
        <v>271</v>
      </c>
      <c r="D230" s="167">
        <v>9191806180</v>
      </c>
      <c r="E230" s="166">
        <v>616417564</v>
      </c>
      <c r="F230" s="158" t="s">
        <v>247</v>
      </c>
      <c r="G230" s="165">
        <v>36179</v>
      </c>
      <c r="H230" s="51">
        <f t="shared" ca="1" si="6"/>
        <v>17</v>
      </c>
      <c r="I230" s="164" t="str">
        <f t="shared" si="7"/>
        <v>January</v>
      </c>
      <c r="J230" s="52"/>
      <c r="K230" s="53">
        <v>50580</v>
      </c>
      <c r="L230" s="163">
        <v>5</v>
      </c>
    </row>
    <row r="231" spans="1:12" x14ac:dyDescent="0.25">
      <c r="A231" s="158" t="s">
        <v>396</v>
      </c>
      <c r="B231" s="158" t="s">
        <v>465</v>
      </c>
      <c r="C231" s="168" t="s">
        <v>271</v>
      </c>
      <c r="D231" s="167">
        <v>9194361873</v>
      </c>
      <c r="E231" s="166">
        <v>910964196</v>
      </c>
      <c r="F231" s="158" t="s">
        <v>247</v>
      </c>
      <c r="G231" s="165">
        <v>34547</v>
      </c>
      <c r="H231" s="51">
        <f t="shared" ca="1" si="6"/>
        <v>22</v>
      </c>
      <c r="I231" s="164" t="str">
        <f t="shared" si="7"/>
        <v>August</v>
      </c>
      <c r="J231" s="52"/>
      <c r="K231" s="53">
        <v>59436</v>
      </c>
      <c r="L231" s="163">
        <v>2</v>
      </c>
    </row>
    <row r="232" spans="1:12" x14ac:dyDescent="0.25">
      <c r="A232" s="158" t="s">
        <v>756</v>
      </c>
      <c r="B232" s="158" t="s">
        <v>465</v>
      </c>
      <c r="C232" s="168" t="s">
        <v>271</v>
      </c>
      <c r="D232" s="167">
        <v>9198253211</v>
      </c>
      <c r="E232" s="166">
        <v>676030562</v>
      </c>
      <c r="F232" s="158" t="s">
        <v>256</v>
      </c>
      <c r="G232" s="165">
        <v>36423</v>
      </c>
      <c r="H232" s="51">
        <f t="shared" ca="1" si="6"/>
        <v>17</v>
      </c>
      <c r="I232" s="164" t="str">
        <f t="shared" si="7"/>
        <v>September</v>
      </c>
      <c r="J232" s="52" t="s">
        <v>257</v>
      </c>
      <c r="K232" s="53">
        <v>72120</v>
      </c>
      <c r="L232" s="163">
        <v>1</v>
      </c>
    </row>
    <row r="233" spans="1:12" x14ac:dyDescent="0.25">
      <c r="A233" s="158" t="s">
        <v>881</v>
      </c>
      <c r="B233" s="158" t="s">
        <v>465</v>
      </c>
      <c r="C233" s="168" t="s">
        <v>245</v>
      </c>
      <c r="D233" s="167">
        <v>9198426889</v>
      </c>
      <c r="E233" s="166">
        <v>159117255</v>
      </c>
      <c r="F233" s="158" t="s">
        <v>247</v>
      </c>
      <c r="G233" s="165">
        <v>40558</v>
      </c>
      <c r="H233" s="51">
        <f t="shared" ca="1" si="6"/>
        <v>5</v>
      </c>
      <c r="I233" s="164" t="str">
        <f t="shared" si="7"/>
        <v>January</v>
      </c>
      <c r="J233" s="52"/>
      <c r="K233" s="53">
        <v>94224</v>
      </c>
      <c r="L233" s="163">
        <v>4</v>
      </c>
    </row>
    <row r="234" spans="1:12" x14ac:dyDescent="0.25">
      <c r="A234" s="158" t="s">
        <v>325</v>
      </c>
      <c r="B234" s="158" t="s">
        <v>465</v>
      </c>
      <c r="C234" s="168" t="s">
        <v>271</v>
      </c>
      <c r="D234" s="167">
        <v>2528155179</v>
      </c>
      <c r="E234" s="166">
        <v>984570981</v>
      </c>
      <c r="F234" s="158" t="s">
        <v>261</v>
      </c>
      <c r="G234" s="165">
        <v>36997</v>
      </c>
      <c r="H234" s="51">
        <f t="shared" ca="1" si="6"/>
        <v>15</v>
      </c>
      <c r="I234" s="164" t="str">
        <f t="shared" si="7"/>
        <v>April</v>
      </c>
      <c r="J234" s="52" t="s">
        <v>283</v>
      </c>
      <c r="K234" s="53">
        <v>57828</v>
      </c>
      <c r="L234" s="163">
        <v>1</v>
      </c>
    </row>
    <row r="235" spans="1:12" x14ac:dyDescent="0.25">
      <c r="A235" s="158" t="s">
        <v>958</v>
      </c>
      <c r="B235" s="158" t="s">
        <v>465</v>
      </c>
      <c r="C235" s="168" t="s">
        <v>271</v>
      </c>
      <c r="D235" s="167">
        <v>2521408985</v>
      </c>
      <c r="E235" s="166">
        <v>415299442</v>
      </c>
      <c r="F235" s="158" t="s">
        <v>256</v>
      </c>
      <c r="G235" s="165">
        <v>40424</v>
      </c>
      <c r="H235" s="51">
        <f t="shared" ca="1" si="6"/>
        <v>6</v>
      </c>
      <c r="I235" s="164" t="str">
        <f t="shared" si="7"/>
        <v>September</v>
      </c>
      <c r="J235" s="52" t="s">
        <v>257</v>
      </c>
      <c r="K235" s="53">
        <v>83184</v>
      </c>
      <c r="L235" s="163">
        <v>3</v>
      </c>
    </row>
    <row r="236" spans="1:12" x14ac:dyDescent="0.25">
      <c r="A236" s="158" t="s">
        <v>640</v>
      </c>
      <c r="B236" s="158" t="s">
        <v>465</v>
      </c>
      <c r="C236" s="168" t="s">
        <v>285</v>
      </c>
      <c r="D236" s="167">
        <v>9198294156</v>
      </c>
      <c r="E236" s="166">
        <v>561737107</v>
      </c>
      <c r="F236" s="158" t="s">
        <v>256</v>
      </c>
      <c r="G236" s="165">
        <v>35752</v>
      </c>
      <c r="H236" s="51">
        <f t="shared" ca="1" si="6"/>
        <v>18</v>
      </c>
      <c r="I236" s="164" t="str">
        <f t="shared" si="7"/>
        <v>November</v>
      </c>
      <c r="J236" s="52" t="s">
        <v>283</v>
      </c>
      <c r="K236" s="53">
        <v>87686</v>
      </c>
      <c r="L236" s="163">
        <v>5</v>
      </c>
    </row>
    <row r="237" spans="1:12" x14ac:dyDescent="0.25">
      <c r="A237" s="158" t="s">
        <v>804</v>
      </c>
      <c r="B237" s="158" t="s">
        <v>465</v>
      </c>
      <c r="C237" s="168" t="s">
        <v>285</v>
      </c>
      <c r="D237" s="167">
        <v>9193708610</v>
      </c>
      <c r="E237" s="166">
        <v>542653222</v>
      </c>
      <c r="F237" s="158" t="s">
        <v>247</v>
      </c>
      <c r="G237" s="165">
        <v>36725</v>
      </c>
      <c r="H237" s="51">
        <f t="shared" ca="1" si="6"/>
        <v>16</v>
      </c>
      <c r="I237" s="164" t="str">
        <f t="shared" si="7"/>
        <v>July</v>
      </c>
      <c r="J237" s="52"/>
      <c r="K237" s="53">
        <v>87024</v>
      </c>
      <c r="L237" s="163">
        <v>3</v>
      </c>
    </row>
    <row r="238" spans="1:12" x14ac:dyDescent="0.25">
      <c r="A238" s="158" t="s">
        <v>882</v>
      </c>
      <c r="B238" s="158" t="s">
        <v>465</v>
      </c>
      <c r="C238" s="168" t="s">
        <v>271</v>
      </c>
      <c r="D238" s="167">
        <v>2525918708</v>
      </c>
      <c r="E238" s="166">
        <v>280304785</v>
      </c>
      <c r="F238" s="158" t="s">
        <v>256</v>
      </c>
      <c r="G238" s="165">
        <v>36724</v>
      </c>
      <c r="H238" s="51">
        <f t="shared" ca="1" si="6"/>
        <v>16</v>
      </c>
      <c r="I238" s="164" t="str">
        <f t="shared" si="7"/>
        <v>July</v>
      </c>
      <c r="J238" s="52" t="s">
        <v>257</v>
      </c>
      <c r="K238" s="53">
        <v>48408</v>
      </c>
      <c r="L238" s="163">
        <v>2</v>
      </c>
    </row>
    <row r="239" spans="1:12" x14ac:dyDescent="0.25">
      <c r="A239" s="158" t="s">
        <v>722</v>
      </c>
      <c r="B239" s="158" t="s">
        <v>465</v>
      </c>
      <c r="C239" s="168" t="s">
        <v>251</v>
      </c>
      <c r="D239" s="167">
        <v>9198082183</v>
      </c>
      <c r="E239" s="166">
        <v>100679868</v>
      </c>
      <c r="F239" s="158" t="s">
        <v>261</v>
      </c>
      <c r="G239" s="165">
        <v>36535</v>
      </c>
      <c r="H239" s="51">
        <f t="shared" ca="1" si="6"/>
        <v>16</v>
      </c>
      <c r="I239" s="164" t="str">
        <f t="shared" si="7"/>
        <v>January</v>
      </c>
      <c r="J239" s="52" t="s">
        <v>257</v>
      </c>
      <c r="K239" s="53">
        <v>58602</v>
      </c>
      <c r="L239" s="163">
        <v>5</v>
      </c>
    </row>
    <row r="240" spans="1:12" x14ac:dyDescent="0.25">
      <c r="A240" s="158" t="s">
        <v>962</v>
      </c>
      <c r="B240" s="158" t="s">
        <v>465</v>
      </c>
      <c r="C240" s="168" t="s">
        <v>285</v>
      </c>
      <c r="D240" s="167">
        <v>2528652588</v>
      </c>
      <c r="E240" s="166">
        <v>894030119</v>
      </c>
      <c r="F240" s="158" t="s">
        <v>256</v>
      </c>
      <c r="G240" s="165">
        <v>37796</v>
      </c>
      <c r="H240" s="51">
        <f t="shared" ca="1" si="6"/>
        <v>13</v>
      </c>
      <c r="I240" s="164" t="str">
        <f t="shared" si="7"/>
        <v>June</v>
      </c>
      <c r="J240" s="52" t="s">
        <v>262</v>
      </c>
      <c r="K240" s="53">
        <v>79212</v>
      </c>
      <c r="L240" s="163">
        <v>5</v>
      </c>
    </row>
    <row r="241" spans="1:12" x14ac:dyDescent="0.25">
      <c r="A241" s="158" t="s">
        <v>328</v>
      </c>
      <c r="B241" s="158" t="s">
        <v>465</v>
      </c>
      <c r="C241" s="168" t="s">
        <v>285</v>
      </c>
      <c r="D241" s="167">
        <v>9191449596</v>
      </c>
      <c r="E241" s="166">
        <v>948480407</v>
      </c>
      <c r="F241" s="158" t="s">
        <v>247</v>
      </c>
      <c r="G241" s="165">
        <v>38362</v>
      </c>
      <c r="H241" s="51">
        <f t="shared" ca="1" si="6"/>
        <v>11</v>
      </c>
      <c r="I241" s="164" t="str">
        <f t="shared" si="7"/>
        <v>January</v>
      </c>
      <c r="J241" s="52"/>
      <c r="K241" s="53">
        <v>73644</v>
      </c>
      <c r="L241" s="163">
        <v>3</v>
      </c>
    </row>
    <row r="242" spans="1:12" x14ac:dyDescent="0.25">
      <c r="A242" s="158" t="s">
        <v>525</v>
      </c>
      <c r="B242" s="158" t="s">
        <v>465</v>
      </c>
      <c r="C242" s="168" t="s">
        <v>280</v>
      </c>
      <c r="D242" s="167">
        <v>2524442142</v>
      </c>
      <c r="E242" s="166">
        <v>466293520</v>
      </c>
      <c r="F242" s="158" t="s">
        <v>252</v>
      </c>
      <c r="G242" s="165">
        <v>34479</v>
      </c>
      <c r="H242" s="51">
        <f t="shared" ca="1" si="6"/>
        <v>22</v>
      </c>
      <c r="I242" s="164" t="str">
        <f t="shared" si="7"/>
        <v>May</v>
      </c>
      <c r="J242" s="52"/>
      <c r="K242" s="53">
        <v>26813</v>
      </c>
      <c r="L242" s="163">
        <v>4</v>
      </c>
    </row>
    <row r="243" spans="1:12" x14ac:dyDescent="0.25">
      <c r="A243" s="158" t="s">
        <v>964</v>
      </c>
      <c r="B243" s="158" t="s">
        <v>465</v>
      </c>
      <c r="C243" s="168" t="s">
        <v>245</v>
      </c>
      <c r="D243" s="167">
        <v>2524785979</v>
      </c>
      <c r="E243" s="166">
        <v>865073824</v>
      </c>
      <c r="F243" s="158" t="s">
        <v>256</v>
      </c>
      <c r="G243" s="165">
        <v>35269</v>
      </c>
      <c r="H243" s="51">
        <f t="shared" ca="1" si="6"/>
        <v>20</v>
      </c>
      <c r="I243" s="164" t="str">
        <f t="shared" si="7"/>
        <v>July</v>
      </c>
      <c r="J243" s="52" t="s">
        <v>276</v>
      </c>
      <c r="K243" s="53">
        <v>41376</v>
      </c>
      <c r="L243" s="163">
        <v>3</v>
      </c>
    </row>
    <row r="244" spans="1:12" x14ac:dyDescent="0.25">
      <c r="A244" s="158" t="s">
        <v>885</v>
      </c>
      <c r="B244" s="158" t="s">
        <v>465</v>
      </c>
      <c r="C244" s="168" t="s">
        <v>285</v>
      </c>
      <c r="D244" s="167">
        <v>2523909820</v>
      </c>
      <c r="E244" s="166">
        <v>475517002</v>
      </c>
      <c r="F244" s="158" t="s">
        <v>256</v>
      </c>
      <c r="G244" s="165">
        <v>37046</v>
      </c>
      <c r="H244" s="51">
        <f t="shared" ca="1" si="6"/>
        <v>15</v>
      </c>
      <c r="I244" s="164" t="str">
        <f t="shared" si="7"/>
        <v>June</v>
      </c>
      <c r="J244" s="52" t="s">
        <v>283</v>
      </c>
      <c r="K244" s="53">
        <v>82500</v>
      </c>
      <c r="L244" s="163">
        <v>1</v>
      </c>
    </row>
    <row r="245" spans="1:12" x14ac:dyDescent="0.25">
      <c r="A245" s="158" t="s">
        <v>527</v>
      </c>
      <c r="B245" s="158" t="s">
        <v>465</v>
      </c>
      <c r="C245" s="168" t="s">
        <v>266</v>
      </c>
      <c r="D245" s="167">
        <v>9191308831</v>
      </c>
      <c r="E245" s="166">
        <v>523758324</v>
      </c>
      <c r="F245" s="158" t="s">
        <v>256</v>
      </c>
      <c r="G245" s="165">
        <v>36089</v>
      </c>
      <c r="H245" s="51">
        <f t="shared" ca="1" si="6"/>
        <v>18</v>
      </c>
      <c r="I245" s="164" t="str">
        <f t="shared" si="7"/>
        <v>October</v>
      </c>
      <c r="J245" s="52" t="s">
        <v>257</v>
      </c>
      <c r="K245" s="53">
        <v>71184</v>
      </c>
      <c r="L245" s="163">
        <v>4</v>
      </c>
    </row>
    <row r="246" spans="1:12" x14ac:dyDescent="0.25">
      <c r="A246" s="158" t="s">
        <v>886</v>
      </c>
      <c r="B246" s="158" t="s">
        <v>465</v>
      </c>
      <c r="C246" s="168" t="s">
        <v>271</v>
      </c>
      <c r="D246" s="167">
        <v>9191591006</v>
      </c>
      <c r="E246" s="166">
        <v>775217609</v>
      </c>
      <c r="F246" s="158" t="s">
        <v>256</v>
      </c>
      <c r="G246" s="165">
        <v>35132</v>
      </c>
      <c r="H246" s="51">
        <f t="shared" ca="1" si="6"/>
        <v>20</v>
      </c>
      <c r="I246" s="164" t="str">
        <f t="shared" si="7"/>
        <v>March</v>
      </c>
      <c r="J246" s="52" t="s">
        <v>283</v>
      </c>
      <c r="K246" s="53">
        <v>29652</v>
      </c>
      <c r="L246" s="163">
        <v>2</v>
      </c>
    </row>
    <row r="247" spans="1:12" x14ac:dyDescent="0.25">
      <c r="A247" s="158" t="s">
        <v>966</v>
      </c>
      <c r="B247" s="158" t="s">
        <v>465</v>
      </c>
      <c r="C247" s="168" t="s">
        <v>280</v>
      </c>
      <c r="D247" s="167">
        <v>9191847141</v>
      </c>
      <c r="E247" s="166">
        <v>725737456</v>
      </c>
      <c r="F247" s="158" t="s">
        <v>247</v>
      </c>
      <c r="G247" s="165">
        <v>39602</v>
      </c>
      <c r="H247" s="51">
        <f t="shared" ca="1" si="6"/>
        <v>8</v>
      </c>
      <c r="I247" s="164" t="str">
        <f t="shared" si="7"/>
        <v>June</v>
      </c>
      <c r="J247" s="52"/>
      <c r="K247" s="53">
        <v>71196</v>
      </c>
      <c r="L247" s="163">
        <v>4</v>
      </c>
    </row>
    <row r="248" spans="1:12" x14ac:dyDescent="0.25">
      <c r="A248" s="158" t="s">
        <v>809</v>
      </c>
      <c r="B248" s="158" t="s">
        <v>465</v>
      </c>
      <c r="C248" s="168" t="s">
        <v>271</v>
      </c>
      <c r="D248" s="167">
        <v>2525185281</v>
      </c>
      <c r="E248" s="166">
        <v>220781349</v>
      </c>
      <c r="F248" s="158" t="s">
        <v>247</v>
      </c>
      <c r="G248" s="165">
        <v>34877</v>
      </c>
      <c r="H248" s="51">
        <f t="shared" ca="1" si="6"/>
        <v>21</v>
      </c>
      <c r="I248" s="164" t="str">
        <f t="shared" si="7"/>
        <v>June</v>
      </c>
      <c r="J248" s="52"/>
      <c r="K248" s="53">
        <v>54924</v>
      </c>
      <c r="L248" s="163">
        <v>5</v>
      </c>
    </row>
    <row r="249" spans="1:12" x14ac:dyDescent="0.25">
      <c r="A249" s="158" t="s">
        <v>724</v>
      </c>
      <c r="B249" s="158" t="s">
        <v>465</v>
      </c>
      <c r="C249" s="168" t="s">
        <v>245</v>
      </c>
      <c r="D249" s="167">
        <v>2528159919</v>
      </c>
      <c r="E249" s="166">
        <v>353414196</v>
      </c>
      <c r="F249" s="158" t="s">
        <v>256</v>
      </c>
      <c r="G249" s="165">
        <v>37426</v>
      </c>
      <c r="H249" s="51">
        <f t="shared" ca="1" si="6"/>
        <v>14</v>
      </c>
      <c r="I249" s="164" t="str">
        <f t="shared" si="7"/>
        <v>June</v>
      </c>
      <c r="J249" s="52" t="s">
        <v>267</v>
      </c>
      <c r="K249" s="53">
        <v>28380</v>
      </c>
      <c r="L249" s="163">
        <v>1</v>
      </c>
    </row>
    <row r="250" spans="1:12" x14ac:dyDescent="0.25">
      <c r="A250" s="169" t="s">
        <v>279</v>
      </c>
      <c r="B250" s="158" t="s">
        <v>465</v>
      </c>
      <c r="C250" s="168" t="s">
        <v>285</v>
      </c>
      <c r="D250" s="167">
        <v>9195043141</v>
      </c>
      <c r="E250" s="166">
        <v>597131266</v>
      </c>
      <c r="F250" s="158" t="s">
        <v>256</v>
      </c>
      <c r="G250" s="165">
        <v>36431</v>
      </c>
      <c r="H250" s="51">
        <f t="shared" ca="1" si="6"/>
        <v>17</v>
      </c>
      <c r="I250" s="164" t="str">
        <f t="shared" si="7"/>
        <v>September</v>
      </c>
      <c r="J250" s="52" t="s">
        <v>262</v>
      </c>
      <c r="K250" s="53">
        <v>79716</v>
      </c>
      <c r="L250" s="163">
        <v>2</v>
      </c>
    </row>
    <row r="251" spans="1:12" x14ac:dyDescent="0.25">
      <c r="A251" s="158" t="s">
        <v>890</v>
      </c>
      <c r="B251" s="158" t="s">
        <v>465</v>
      </c>
      <c r="C251" s="168" t="s">
        <v>285</v>
      </c>
      <c r="D251" s="167">
        <v>9195089157</v>
      </c>
      <c r="E251" s="166">
        <v>725801036</v>
      </c>
      <c r="F251" s="158" t="s">
        <v>247</v>
      </c>
      <c r="G251" s="165">
        <v>36700</v>
      </c>
      <c r="H251" s="51">
        <f t="shared" ca="1" si="6"/>
        <v>16</v>
      </c>
      <c r="I251" s="164" t="str">
        <f t="shared" si="7"/>
        <v>June</v>
      </c>
      <c r="J251" s="52"/>
      <c r="K251" s="53">
        <v>86052</v>
      </c>
      <c r="L251" s="163">
        <v>5</v>
      </c>
    </row>
    <row r="252" spans="1:12" x14ac:dyDescent="0.25">
      <c r="A252" s="158" t="s">
        <v>970</v>
      </c>
      <c r="B252" s="158" t="s">
        <v>465</v>
      </c>
      <c r="C252" s="168" t="s">
        <v>271</v>
      </c>
      <c r="D252" s="167">
        <v>2527061632</v>
      </c>
      <c r="E252" s="166">
        <v>371001908</v>
      </c>
      <c r="F252" s="158" t="s">
        <v>256</v>
      </c>
      <c r="G252" s="165">
        <v>36084</v>
      </c>
      <c r="H252" s="51">
        <f t="shared" ca="1" si="6"/>
        <v>18</v>
      </c>
      <c r="I252" s="164" t="str">
        <f t="shared" si="7"/>
        <v>October</v>
      </c>
      <c r="J252" s="52" t="s">
        <v>262</v>
      </c>
      <c r="K252" s="53">
        <v>54576</v>
      </c>
      <c r="L252" s="163">
        <v>4</v>
      </c>
    </row>
    <row r="253" spans="1:12" x14ac:dyDescent="0.25">
      <c r="A253" s="158" t="s">
        <v>813</v>
      </c>
      <c r="B253" s="158" t="s">
        <v>465</v>
      </c>
      <c r="C253" s="168" t="s">
        <v>266</v>
      </c>
      <c r="D253" s="167">
        <v>9195592950</v>
      </c>
      <c r="E253" s="166">
        <v>135965371</v>
      </c>
      <c r="F253" s="158" t="s">
        <v>256</v>
      </c>
      <c r="G253" s="165">
        <v>38664</v>
      </c>
      <c r="H253" s="51">
        <f t="shared" ca="1" si="6"/>
        <v>11</v>
      </c>
      <c r="I253" s="164" t="str">
        <f t="shared" si="7"/>
        <v>November</v>
      </c>
      <c r="J253" s="52" t="s">
        <v>283</v>
      </c>
      <c r="K253" s="53">
        <v>37104</v>
      </c>
      <c r="L253" s="163">
        <v>5</v>
      </c>
    </row>
    <row r="254" spans="1:12" x14ac:dyDescent="0.25">
      <c r="A254" s="158" t="s">
        <v>537</v>
      </c>
      <c r="B254" s="158" t="s">
        <v>465</v>
      </c>
      <c r="C254" s="168" t="s">
        <v>271</v>
      </c>
      <c r="D254" s="167">
        <v>9198038161</v>
      </c>
      <c r="E254" s="166">
        <v>505966230</v>
      </c>
      <c r="F254" s="158" t="s">
        <v>256</v>
      </c>
      <c r="G254" s="165">
        <v>34721</v>
      </c>
      <c r="H254" s="51">
        <f t="shared" ca="1" si="6"/>
        <v>21</v>
      </c>
      <c r="I254" s="164" t="str">
        <f t="shared" si="7"/>
        <v>January</v>
      </c>
      <c r="J254" s="52" t="s">
        <v>283</v>
      </c>
      <c r="K254" s="53">
        <v>54600</v>
      </c>
      <c r="L254" s="163">
        <v>3</v>
      </c>
    </row>
    <row r="255" spans="1:12" x14ac:dyDescent="0.25">
      <c r="A255" s="158" t="s">
        <v>538</v>
      </c>
      <c r="B255" s="158" t="s">
        <v>465</v>
      </c>
      <c r="C255" s="168" t="s">
        <v>280</v>
      </c>
      <c r="D255" s="167">
        <v>9193392642</v>
      </c>
      <c r="E255" s="166">
        <v>647552282</v>
      </c>
      <c r="F255" s="158" t="s">
        <v>247</v>
      </c>
      <c r="G255" s="165">
        <v>34993</v>
      </c>
      <c r="H255" s="51">
        <f t="shared" ca="1" si="6"/>
        <v>21</v>
      </c>
      <c r="I255" s="164" t="str">
        <f t="shared" si="7"/>
        <v>October</v>
      </c>
      <c r="J255" s="52"/>
      <c r="K255" s="53">
        <v>42552</v>
      </c>
      <c r="L255" s="163">
        <v>3</v>
      </c>
    </row>
    <row r="256" spans="1:12" x14ac:dyDescent="0.25">
      <c r="A256" s="158" t="s">
        <v>818</v>
      </c>
      <c r="B256" s="158" t="s">
        <v>465</v>
      </c>
      <c r="C256" s="168" t="s">
        <v>280</v>
      </c>
      <c r="D256" s="167">
        <v>9196422185</v>
      </c>
      <c r="E256" s="166">
        <v>620336005</v>
      </c>
      <c r="F256" s="158" t="s">
        <v>256</v>
      </c>
      <c r="G256" s="165">
        <v>39105</v>
      </c>
      <c r="H256" s="51">
        <f t="shared" ca="1" si="6"/>
        <v>9</v>
      </c>
      <c r="I256" s="164" t="str">
        <f t="shared" si="7"/>
        <v>January</v>
      </c>
      <c r="J256" s="52" t="s">
        <v>257</v>
      </c>
      <c r="K256" s="53">
        <v>49272</v>
      </c>
      <c r="L256" s="163">
        <v>3</v>
      </c>
    </row>
    <row r="257" spans="1:12" x14ac:dyDescent="0.25">
      <c r="A257" s="158" t="s">
        <v>652</v>
      </c>
      <c r="B257" s="158" t="s">
        <v>465</v>
      </c>
      <c r="C257" s="168" t="s">
        <v>245</v>
      </c>
      <c r="D257" s="167">
        <v>9198979762</v>
      </c>
      <c r="E257" s="166">
        <v>488831244</v>
      </c>
      <c r="F257" s="158" t="s">
        <v>261</v>
      </c>
      <c r="G257" s="165">
        <v>38348</v>
      </c>
      <c r="H257" s="51">
        <f t="shared" ca="1" si="6"/>
        <v>11</v>
      </c>
      <c r="I257" s="164" t="str">
        <f t="shared" si="7"/>
        <v>December</v>
      </c>
      <c r="J257" s="52" t="s">
        <v>257</v>
      </c>
      <c r="K257" s="53">
        <v>29352</v>
      </c>
      <c r="L257" s="163">
        <v>1</v>
      </c>
    </row>
    <row r="258" spans="1:12" x14ac:dyDescent="0.25">
      <c r="A258" s="158" t="s">
        <v>979</v>
      </c>
      <c r="B258" s="158" t="s">
        <v>465</v>
      </c>
      <c r="C258" s="168" t="s">
        <v>271</v>
      </c>
      <c r="D258" s="167">
        <v>2524627771</v>
      </c>
      <c r="E258" s="166">
        <v>527185620</v>
      </c>
      <c r="F258" s="158" t="s">
        <v>256</v>
      </c>
      <c r="G258" s="165">
        <v>40998</v>
      </c>
      <c r="H258" s="51">
        <f t="shared" ref="H258:H321" ca="1" si="8">DATEDIF(G258,TODAY(),"Y")</f>
        <v>4</v>
      </c>
      <c r="I258" s="164" t="str">
        <f t="shared" ref="I258:I321" si="9">CHOOSE(MONTH(G258),"January","February","March","April","May","June","July","August","September","October","November","December")</f>
        <v>March</v>
      </c>
      <c r="J258" s="52" t="s">
        <v>283</v>
      </c>
      <c r="K258" s="53">
        <v>42360</v>
      </c>
      <c r="L258" s="163">
        <v>5</v>
      </c>
    </row>
    <row r="259" spans="1:12" x14ac:dyDescent="0.25">
      <c r="A259" s="158" t="s">
        <v>654</v>
      </c>
      <c r="B259" s="158" t="s">
        <v>465</v>
      </c>
      <c r="C259" s="168" t="s">
        <v>245</v>
      </c>
      <c r="D259" s="167">
        <v>9194897618</v>
      </c>
      <c r="E259" s="166">
        <v>328787467</v>
      </c>
      <c r="F259" s="158" t="s">
        <v>252</v>
      </c>
      <c r="G259" s="165">
        <v>39815</v>
      </c>
      <c r="H259" s="51">
        <f t="shared" ca="1" si="8"/>
        <v>7</v>
      </c>
      <c r="I259" s="164" t="str">
        <f t="shared" si="9"/>
        <v>January</v>
      </c>
      <c r="J259" s="52"/>
      <c r="K259" s="53">
        <v>17299</v>
      </c>
      <c r="L259" s="163">
        <v>4</v>
      </c>
    </row>
    <row r="260" spans="1:12" x14ac:dyDescent="0.25">
      <c r="A260" s="158" t="s">
        <v>687</v>
      </c>
      <c r="B260" s="158" t="s">
        <v>465</v>
      </c>
      <c r="C260" s="168" t="s">
        <v>245</v>
      </c>
      <c r="D260" s="167">
        <v>9192474315</v>
      </c>
      <c r="E260" s="166">
        <v>772163640</v>
      </c>
      <c r="F260" s="158" t="s">
        <v>256</v>
      </c>
      <c r="G260" s="165">
        <v>37172</v>
      </c>
      <c r="H260" s="51">
        <f t="shared" ca="1" si="8"/>
        <v>15</v>
      </c>
      <c r="I260" s="164" t="str">
        <f t="shared" si="9"/>
        <v>October</v>
      </c>
      <c r="J260" s="52" t="s">
        <v>257</v>
      </c>
      <c r="K260" s="53">
        <v>80736</v>
      </c>
      <c r="L260" s="163">
        <v>3</v>
      </c>
    </row>
    <row r="261" spans="1:12" x14ac:dyDescent="0.25">
      <c r="A261" s="158" t="s">
        <v>760</v>
      </c>
      <c r="B261" s="158" t="s">
        <v>465</v>
      </c>
      <c r="C261" s="168" t="s">
        <v>245</v>
      </c>
      <c r="D261" s="167">
        <v>9192053579</v>
      </c>
      <c r="E261" s="166">
        <v>470935648</v>
      </c>
      <c r="F261" s="158" t="s">
        <v>247</v>
      </c>
      <c r="G261" s="165">
        <v>39265</v>
      </c>
      <c r="H261" s="51">
        <f t="shared" ca="1" si="8"/>
        <v>9</v>
      </c>
      <c r="I261" s="164" t="str">
        <f t="shared" si="9"/>
        <v>July</v>
      </c>
      <c r="J261" s="52"/>
      <c r="K261" s="53">
        <v>47616</v>
      </c>
      <c r="L261" s="163">
        <v>1</v>
      </c>
    </row>
    <row r="262" spans="1:12" x14ac:dyDescent="0.25">
      <c r="A262" s="158" t="s">
        <v>897</v>
      </c>
      <c r="B262" s="158" t="s">
        <v>465</v>
      </c>
      <c r="C262" s="168" t="s">
        <v>285</v>
      </c>
      <c r="D262" s="167">
        <v>9195057530</v>
      </c>
      <c r="E262" s="166">
        <v>130619578</v>
      </c>
      <c r="F262" s="158" t="s">
        <v>247</v>
      </c>
      <c r="G262" s="165">
        <v>37446</v>
      </c>
      <c r="H262" s="51">
        <f t="shared" ca="1" si="8"/>
        <v>14</v>
      </c>
      <c r="I262" s="164" t="str">
        <f t="shared" si="9"/>
        <v>July</v>
      </c>
      <c r="J262" s="52"/>
      <c r="K262" s="53">
        <v>107424</v>
      </c>
      <c r="L262" s="163">
        <v>5</v>
      </c>
    </row>
    <row r="263" spans="1:12" x14ac:dyDescent="0.25">
      <c r="A263" s="158" t="s">
        <v>657</v>
      </c>
      <c r="B263" s="158" t="s">
        <v>465</v>
      </c>
      <c r="C263" s="168" t="s">
        <v>266</v>
      </c>
      <c r="D263" s="167">
        <v>2527038033</v>
      </c>
      <c r="E263" s="166">
        <v>165917010</v>
      </c>
      <c r="F263" s="158" t="s">
        <v>247</v>
      </c>
      <c r="G263" s="165">
        <v>35399</v>
      </c>
      <c r="H263" s="51">
        <f t="shared" ca="1" si="8"/>
        <v>19</v>
      </c>
      <c r="I263" s="164" t="str">
        <f t="shared" si="9"/>
        <v>November</v>
      </c>
      <c r="J263" s="52"/>
      <c r="K263" s="53">
        <v>96828</v>
      </c>
      <c r="L263" s="163">
        <v>3</v>
      </c>
    </row>
    <row r="264" spans="1:12" x14ac:dyDescent="0.25">
      <c r="A264" s="158" t="s">
        <v>545</v>
      </c>
      <c r="B264" s="158" t="s">
        <v>465</v>
      </c>
      <c r="C264" s="168" t="s">
        <v>271</v>
      </c>
      <c r="D264" s="167">
        <v>9192672603</v>
      </c>
      <c r="E264" s="166">
        <v>854806695</v>
      </c>
      <c r="F264" s="158" t="s">
        <v>256</v>
      </c>
      <c r="G264" s="165">
        <v>34449</v>
      </c>
      <c r="H264" s="51">
        <f t="shared" ca="1" si="8"/>
        <v>22</v>
      </c>
      <c r="I264" s="164" t="str">
        <f t="shared" si="9"/>
        <v>April</v>
      </c>
      <c r="J264" s="52" t="s">
        <v>283</v>
      </c>
      <c r="K264" s="53">
        <v>31428</v>
      </c>
      <c r="L264" s="163">
        <v>5</v>
      </c>
    </row>
    <row r="265" spans="1:12" x14ac:dyDescent="0.25">
      <c r="A265" s="158" t="s">
        <v>899</v>
      </c>
      <c r="B265" s="158" t="s">
        <v>465</v>
      </c>
      <c r="C265" s="168" t="s">
        <v>271</v>
      </c>
      <c r="D265" s="167">
        <v>2525035104</v>
      </c>
      <c r="E265" s="166">
        <v>995858336</v>
      </c>
      <c r="F265" s="158" t="s">
        <v>247</v>
      </c>
      <c r="G265" s="165">
        <v>41198</v>
      </c>
      <c r="H265" s="51">
        <f t="shared" ca="1" si="8"/>
        <v>4</v>
      </c>
      <c r="I265" s="164" t="str">
        <f t="shared" si="9"/>
        <v>October</v>
      </c>
      <c r="J265" s="52"/>
      <c r="K265" s="53">
        <v>45408</v>
      </c>
      <c r="L265" s="163">
        <v>1</v>
      </c>
    </row>
    <row r="266" spans="1:12" x14ac:dyDescent="0.25">
      <c r="A266" s="158" t="s">
        <v>691</v>
      </c>
      <c r="B266" s="158" t="s">
        <v>465</v>
      </c>
      <c r="C266" s="168" t="s">
        <v>271</v>
      </c>
      <c r="D266" s="167">
        <v>2524249228</v>
      </c>
      <c r="E266" s="166">
        <v>914326052</v>
      </c>
      <c r="F266" s="158" t="s">
        <v>256</v>
      </c>
      <c r="G266" s="165">
        <v>37263</v>
      </c>
      <c r="H266" s="51">
        <f t="shared" ca="1" si="8"/>
        <v>14</v>
      </c>
      <c r="I266" s="164" t="str">
        <f t="shared" si="9"/>
        <v>January</v>
      </c>
      <c r="J266" s="52" t="s">
        <v>257</v>
      </c>
      <c r="K266" s="53">
        <v>91430</v>
      </c>
      <c r="L266" s="163">
        <v>4</v>
      </c>
    </row>
    <row r="267" spans="1:12" x14ac:dyDescent="0.25">
      <c r="A267" s="158" t="s">
        <v>401</v>
      </c>
      <c r="B267" s="158" t="s">
        <v>465</v>
      </c>
      <c r="C267" s="168" t="s">
        <v>285</v>
      </c>
      <c r="D267" s="167">
        <v>9193498222</v>
      </c>
      <c r="E267" s="166">
        <v>914330398</v>
      </c>
      <c r="F267" s="158" t="s">
        <v>256</v>
      </c>
      <c r="G267" s="165">
        <v>39549</v>
      </c>
      <c r="H267" s="51">
        <f t="shared" ca="1" si="8"/>
        <v>8</v>
      </c>
      <c r="I267" s="164" t="str">
        <f t="shared" si="9"/>
        <v>April</v>
      </c>
      <c r="J267" s="52" t="s">
        <v>283</v>
      </c>
      <c r="K267" s="53">
        <v>78864</v>
      </c>
      <c r="L267" s="163">
        <v>1</v>
      </c>
    </row>
    <row r="268" spans="1:12" x14ac:dyDescent="0.25">
      <c r="A268" s="158" t="s">
        <v>550</v>
      </c>
      <c r="B268" s="158" t="s">
        <v>465</v>
      </c>
      <c r="C268" s="168" t="s">
        <v>280</v>
      </c>
      <c r="D268" s="167">
        <v>9195250630</v>
      </c>
      <c r="E268" s="166">
        <v>504914685</v>
      </c>
      <c r="F268" s="158" t="s">
        <v>256</v>
      </c>
      <c r="G268" s="165">
        <v>36812</v>
      </c>
      <c r="H268" s="51">
        <f t="shared" ca="1" si="8"/>
        <v>16</v>
      </c>
      <c r="I268" s="164" t="str">
        <f t="shared" si="9"/>
        <v>October</v>
      </c>
      <c r="J268" s="52" t="s">
        <v>257</v>
      </c>
      <c r="K268" s="53">
        <v>39852</v>
      </c>
      <c r="L268" s="163">
        <v>4</v>
      </c>
    </row>
    <row r="269" spans="1:12" x14ac:dyDescent="0.25">
      <c r="A269" s="158" t="s">
        <v>553</v>
      </c>
      <c r="B269" s="158" t="s">
        <v>465</v>
      </c>
      <c r="C269" s="168" t="s">
        <v>285</v>
      </c>
      <c r="D269" s="167">
        <v>9197046530</v>
      </c>
      <c r="E269" s="166">
        <v>337370590</v>
      </c>
      <c r="F269" s="158" t="s">
        <v>247</v>
      </c>
      <c r="G269" s="165">
        <v>38772</v>
      </c>
      <c r="H269" s="51">
        <f t="shared" ca="1" si="8"/>
        <v>10</v>
      </c>
      <c r="I269" s="164" t="str">
        <f t="shared" si="9"/>
        <v>February</v>
      </c>
      <c r="J269" s="52"/>
      <c r="K269" s="53">
        <v>68892</v>
      </c>
      <c r="L269" s="163">
        <v>2</v>
      </c>
    </row>
    <row r="270" spans="1:12" x14ac:dyDescent="0.25">
      <c r="A270" s="158" t="s">
        <v>341</v>
      </c>
      <c r="B270" s="158" t="s">
        <v>465</v>
      </c>
      <c r="C270" s="168" t="s">
        <v>266</v>
      </c>
      <c r="D270" s="167">
        <v>2525085320</v>
      </c>
      <c r="E270" s="166">
        <v>292993080</v>
      </c>
      <c r="F270" s="158" t="s">
        <v>256</v>
      </c>
      <c r="G270" s="165">
        <v>40183</v>
      </c>
      <c r="H270" s="51">
        <f t="shared" ca="1" si="8"/>
        <v>6</v>
      </c>
      <c r="I270" s="164" t="str">
        <f t="shared" si="9"/>
        <v>January</v>
      </c>
      <c r="J270" s="52" t="s">
        <v>283</v>
      </c>
      <c r="K270" s="53">
        <v>71304</v>
      </c>
      <c r="L270" s="163">
        <v>4</v>
      </c>
    </row>
    <row r="271" spans="1:12" x14ac:dyDescent="0.25">
      <c r="A271" s="158" t="s">
        <v>559</v>
      </c>
      <c r="B271" s="158" t="s">
        <v>465</v>
      </c>
      <c r="C271" s="168" t="s">
        <v>245</v>
      </c>
      <c r="D271" s="167">
        <v>9198999194</v>
      </c>
      <c r="E271" s="166">
        <v>427260216</v>
      </c>
      <c r="F271" s="158" t="s">
        <v>261</v>
      </c>
      <c r="G271" s="165">
        <v>34891</v>
      </c>
      <c r="H271" s="51">
        <f t="shared" ca="1" si="8"/>
        <v>21</v>
      </c>
      <c r="I271" s="164" t="str">
        <f t="shared" si="9"/>
        <v>July</v>
      </c>
      <c r="J271" s="52" t="s">
        <v>262</v>
      </c>
      <c r="K271" s="53">
        <v>22674</v>
      </c>
      <c r="L271" s="163">
        <v>4</v>
      </c>
    </row>
    <row r="272" spans="1:12" x14ac:dyDescent="0.25">
      <c r="A272" s="158" t="s">
        <v>902</v>
      </c>
      <c r="B272" s="158" t="s">
        <v>465</v>
      </c>
      <c r="C272" s="168" t="s">
        <v>285</v>
      </c>
      <c r="D272" s="167">
        <v>2525790872</v>
      </c>
      <c r="E272" s="166">
        <v>249929042</v>
      </c>
      <c r="F272" s="158" t="s">
        <v>256</v>
      </c>
      <c r="G272" s="165">
        <v>39392</v>
      </c>
      <c r="H272" s="51">
        <f t="shared" ca="1" si="8"/>
        <v>9</v>
      </c>
      <c r="I272" s="164" t="str">
        <f t="shared" si="9"/>
        <v>November</v>
      </c>
      <c r="J272" s="52" t="s">
        <v>257</v>
      </c>
      <c r="K272" s="53">
        <v>73272</v>
      </c>
      <c r="L272" s="163">
        <v>5</v>
      </c>
    </row>
    <row r="273" spans="1:12" x14ac:dyDescent="0.25">
      <c r="A273" s="158" t="s">
        <v>560</v>
      </c>
      <c r="B273" s="158" t="s">
        <v>465</v>
      </c>
      <c r="C273" s="168" t="s">
        <v>280</v>
      </c>
      <c r="D273" s="167">
        <v>9194555389</v>
      </c>
      <c r="E273" s="166">
        <v>487810878</v>
      </c>
      <c r="F273" s="158" t="s">
        <v>256</v>
      </c>
      <c r="G273" s="165">
        <v>34796</v>
      </c>
      <c r="H273" s="51">
        <f t="shared" ca="1" si="8"/>
        <v>21</v>
      </c>
      <c r="I273" s="164" t="str">
        <f t="shared" si="9"/>
        <v>April</v>
      </c>
      <c r="J273" s="52" t="s">
        <v>283</v>
      </c>
      <c r="K273" s="53">
        <v>27996</v>
      </c>
      <c r="L273" s="163">
        <v>4</v>
      </c>
    </row>
    <row r="274" spans="1:12" x14ac:dyDescent="0.25">
      <c r="A274" s="158" t="s">
        <v>988</v>
      </c>
      <c r="B274" s="158" t="s">
        <v>465</v>
      </c>
      <c r="C274" s="168" t="s">
        <v>245</v>
      </c>
      <c r="D274" s="167">
        <v>9196633751</v>
      </c>
      <c r="E274" s="166">
        <v>361925033</v>
      </c>
      <c r="F274" s="158" t="s">
        <v>247</v>
      </c>
      <c r="G274" s="165">
        <v>39017</v>
      </c>
      <c r="H274" s="51">
        <f t="shared" ca="1" si="8"/>
        <v>10</v>
      </c>
      <c r="I274" s="164" t="str">
        <f t="shared" si="9"/>
        <v>October</v>
      </c>
      <c r="J274" s="52"/>
      <c r="K274" s="53">
        <v>86196</v>
      </c>
      <c r="L274" s="163">
        <v>3</v>
      </c>
    </row>
    <row r="275" spans="1:12" x14ac:dyDescent="0.25">
      <c r="A275" s="158" t="s">
        <v>460</v>
      </c>
      <c r="B275" s="158" t="s">
        <v>465</v>
      </c>
      <c r="C275" s="168" t="s">
        <v>285</v>
      </c>
      <c r="D275" s="167">
        <v>9194733288</v>
      </c>
      <c r="E275" s="166">
        <v>903618594</v>
      </c>
      <c r="F275" s="158" t="s">
        <v>256</v>
      </c>
      <c r="G275" s="165">
        <v>38594</v>
      </c>
      <c r="H275" s="51">
        <f t="shared" ca="1" si="8"/>
        <v>11</v>
      </c>
      <c r="I275" s="164" t="str">
        <f t="shared" si="9"/>
        <v>August</v>
      </c>
      <c r="J275" s="52" t="s">
        <v>262</v>
      </c>
      <c r="K275" s="53">
        <v>65076</v>
      </c>
      <c r="L275" s="163">
        <v>5</v>
      </c>
    </row>
    <row r="276" spans="1:12" x14ac:dyDescent="0.25">
      <c r="A276" s="158" t="s">
        <v>904</v>
      </c>
      <c r="B276" s="158" t="s">
        <v>465</v>
      </c>
      <c r="C276" s="168" t="s">
        <v>285</v>
      </c>
      <c r="D276" s="167">
        <v>2523162442</v>
      </c>
      <c r="E276" s="166">
        <v>920477476</v>
      </c>
      <c r="F276" s="158" t="s">
        <v>247</v>
      </c>
      <c r="G276" s="165">
        <v>35913</v>
      </c>
      <c r="H276" s="51">
        <f t="shared" ca="1" si="8"/>
        <v>18</v>
      </c>
      <c r="I276" s="164" t="str">
        <f t="shared" si="9"/>
        <v>April</v>
      </c>
      <c r="J276" s="52"/>
      <c r="K276" s="53">
        <v>29292</v>
      </c>
      <c r="L276" s="163">
        <v>3</v>
      </c>
    </row>
    <row r="277" spans="1:12" x14ac:dyDescent="0.25">
      <c r="A277" s="158" t="s">
        <v>1028</v>
      </c>
      <c r="B277" s="158" t="s">
        <v>465</v>
      </c>
      <c r="C277" s="168" t="s">
        <v>285</v>
      </c>
      <c r="D277" s="167">
        <v>2525998691</v>
      </c>
      <c r="E277" s="166">
        <v>412611335</v>
      </c>
      <c r="F277" s="158" t="s">
        <v>247</v>
      </c>
      <c r="G277" s="165">
        <v>39235</v>
      </c>
      <c r="H277" s="51">
        <f t="shared" ca="1" si="8"/>
        <v>9</v>
      </c>
      <c r="I277" s="164" t="str">
        <f t="shared" si="9"/>
        <v>June</v>
      </c>
      <c r="J277" s="52"/>
      <c r="K277" s="53">
        <v>49128</v>
      </c>
      <c r="L277" s="163">
        <v>2</v>
      </c>
    </row>
    <row r="278" spans="1:12" x14ac:dyDescent="0.25">
      <c r="A278" s="158" t="s">
        <v>730</v>
      </c>
      <c r="B278" s="158" t="s">
        <v>465</v>
      </c>
      <c r="C278" s="168" t="s">
        <v>285</v>
      </c>
      <c r="D278" s="167">
        <v>2521667727</v>
      </c>
      <c r="E278" s="166">
        <v>356242235</v>
      </c>
      <c r="F278" s="158" t="s">
        <v>261</v>
      </c>
      <c r="G278" s="165">
        <v>37332</v>
      </c>
      <c r="H278" s="51">
        <f t="shared" ca="1" si="8"/>
        <v>14</v>
      </c>
      <c r="I278" s="164" t="str">
        <f t="shared" si="9"/>
        <v>March</v>
      </c>
      <c r="J278" s="52" t="s">
        <v>283</v>
      </c>
      <c r="K278" s="53">
        <v>56052</v>
      </c>
      <c r="L278" s="163">
        <v>3</v>
      </c>
    </row>
    <row r="279" spans="1:12" x14ac:dyDescent="0.25">
      <c r="A279" s="158" t="s">
        <v>825</v>
      </c>
      <c r="B279" s="158" t="s">
        <v>465</v>
      </c>
      <c r="C279" s="168" t="s">
        <v>245</v>
      </c>
      <c r="D279" s="167">
        <v>9193709408</v>
      </c>
      <c r="E279" s="166">
        <v>318068637</v>
      </c>
      <c r="F279" s="158" t="s">
        <v>247</v>
      </c>
      <c r="G279" s="165">
        <v>40266</v>
      </c>
      <c r="H279" s="51">
        <f t="shared" ca="1" si="8"/>
        <v>6</v>
      </c>
      <c r="I279" s="164" t="str">
        <f t="shared" si="9"/>
        <v>March</v>
      </c>
      <c r="J279" s="52"/>
      <c r="K279" s="53">
        <v>75336</v>
      </c>
      <c r="L279" s="163">
        <v>4</v>
      </c>
    </row>
    <row r="280" spans="1:12" x14ac:dyDescent="0.25">
      <c r="A280" s="158" t="s">
        <v>731</v>
      </c>
      <c r="B280" s="158" t="s">
        <v>465</v>
      </c>
      <c r="C280" s="168" t="s">
        <v>285</v>
      </c>
      <c r="D280" s="167">
        <v>2523454032</v>
      </c>
      <c r="E280" s="166">
        <v>319449613</v>
      </c>
      <c r="F280" s="158" t="s">
        <v>256</v>
      </c>
      <c r="G280" s="165">
        <v>37060</v>
      </c>
      <c r="H280" s="51">
        <f t="shared" ca="1" si="8"/>
        <v>15</v>
      </c>
      <c r="I280" s="164" t="str">
        <f t="shared" si="9"/>
        <v>June</v>
      </c>
      <c r="J280" s="52" t="s">
        <v>267</v>
      </c>
      <c r="K280" s="53">
        <v>45312</v>
      </c>
      <c r="L280" s="163">
        <v>2</v>
      </c>
    </row>
    <row r="281" spans="1:12" x14ac:dyDescent="0.25">
      <c r="A281" s="158" t="s">
        <v>906</v>
      </c>
      <c r="B281" s="158" t="s">
        <v>465</v>
      </c>
      <c r="C281" s="168" t="s">
        <v>271</v>
      </c>
      <c r="D281" s="167">
        <v>9192687844</v>
      </c>
      <c r="E281" s="166">
        <v>843064707</v>
      </c>
      <c r="F281" s="158" t="s">
        <v>247</v>
      </c>
      <c r="G281" s="165">
        <v>41408</v>
      </c>
      <c r="H281" s="51">
        <f t="shared" ca="1" si="8"/>
        <v>3</v>
      </c>
      <c r="I281" s="164" t="str">
        <f t="shared" si="9"/>
        <v>May</v>
      </c>
      <c r="J281" s="52"/>
      <c r="K281" s="53">
        <v>68532</v>
      </c>
      <c r="L281" s="163">
        <v>3</v>
      </c>
    </row>
    <row r="282" spans="1:12" x14ac:dyDescent="0.25">
      <c r="A282" s="158" t="s">
        <v>992</v>
      </c>
      <c r="B282" s="158" t="s">
        <v>465</v>
      </c>
      <c r="C282" s="168" t="s">
        <v>271</v>
      </c>
      <c r="D282" s="167">
        <v>9196689962</v>
      </c>
      <c r="E282" s="166">
        <v>962553692</v>
      </c>
      <c r="F282" s="158" t="s">
        <v>256</v>
      </c>
      <c r="G282" s="165">
        <v>35884</v>
      </c>
      <c r="H282" s="51">
        <f t="shared" ca="1" si="8"/>
        <v>18</v>
      </c>
      <c r="I282" s="164" t="str">
        <f t="shared" si="9"/>
        <v>March</v>
      </c>
      <c r="J282" s="52" t="s">
        <v>283</v>
      </c>
      <c r="K282" s="53">
        <v>103512</v>
      </c>
      <c r="L282" s="163">
        <v>3</v>
      </c>
    </row>
    <row r="283" spans="1:12" x14ac:dyDescent="0.25">
      <c r="A283" s="158" t="s">
        <v>564</v>
      </c>
      <c r="B283" s="158" t="s">
        <v>465</v>
      </c>
      <c r="C283" s="168" t="s">
        <v>285</v>
      </c>
      <c r="D283" s="167">
        <v>9196410575</v>
      </c>
      <c r="E283" s="166">
        <v>428024993</v>
      </c>
      <c r="F283" s="158" t="s">
        <v>247</v>
      </c>
      <c r="G283" s="165">
        <v>34502</v>
      </c>
      <c r="H283" s="51">
        <f t="shared" ca="1" si="8"/>
        <v>22</v>
      </c>
      <c r="I283" s="164" t="str">
        <f t="shared" si="9"/>
        <v>June</v>
      </c>
      <c r="J283" s="52"/>
      <c r="K283" s="53">
        <v>38628</v>
      </c>
      <c r="L283" s="163">
        <v>3</v>
      </c>
    </row>
    <row r="284" spans="1:12" x14ac:dyDescent="0.25">
      <c r="A284" s="158" t="s">
        <v>346</v>
      </c>
      <c r="B284" s="158" t="s">
        <v>465</v>
      </c>
      <c r="C284" s="168" t="s">
        <v>271</v>
      </c>
      <c r="D284" s="167">
        <v>9198256039</v>
      </c>
      <c r="E284" s="166">
        <v>219245495</v>
      </c>
      <c r="F284" s="158" t="s">
        <v>247</v>
      </c>
      <c r="G284" s="165">
        <v>35153</v>
      </c>
      <c r="H284" s="51">
        <f t="shared" ca="1" si="8"/>
        <v>20</v>
      </c>
      <c r="I284" s="164" t="str">
        <f t="shared" si="9"/>
        <v>March</v>
      </c>
      <c r="J284" s="52"/>
      <c r="K284" s="53">
        <v>75972</v>
      </c>
      <c r="L284" s="163">
        <v>3</v>
      </c>
    </row>
    <row r="285" spans="1:12" x14ac:dyDescent="0.25">
      <c r="A285" s="158" t="s">
        <v>440</v>
      </c>
      <c r="B285" s="158" t="s">
        <v>465</v>
      </c>
      <c r="C285" s="168" t="s">
        <v>271</v>
      </c>
      <c r="D285" s="167">
        <v>2524138160</v>
      </c>
      <c r="E285" s="166">
        <v>213584397</v>
      </c>
      <c r="F285" s="158" t="s">
        <v>256</v>
      </c>
      <c r="G285" s="165">
        <v>38059</v>
      </c>
      <c r="H285" s="51">
        <f t="shared" ca="1" si="8"/>
        <v>12</v>
      </c>
      <c r="I285" s="164" t="str">
        <f t="shared" si="9"/>
        <v>March</v>
      </c>
      <c r="J285" s="52" t="s">
        <v>283</v>
      </c>
      <c r="K285" s="53">
        <v>75300</v>
      </c>
      <c r="L285" s="163">
        <v>3</v>
      </c>
    </row>
    <row r="286" spans="1:12" x14ac:dyDescent="0.25">
      <c r="A286" s="158" t="s">
        <v>695</v>
      </c>
      <c r="B286" s="158" t="s">
        <v>465</v>
      </c>
      <c r="C286" s="168" t="s">
        <v>285</v>
      </c>
      <c r="D286" s="167">
        <v>2522263363</v>
      </c>
      <c r="E286" s="166">
        <v>722630791</v>
      </c>
      <c r="F286" s="158" t="s">
        <v>252</v>
      </c>
      <c r="G286" s="165">
        <v>36710</v>
      </c>
      <c r="H286" s="51">
        <f t="shared" ca="1" si="8"/>
        <v>16</v>
      </c>
      <c r="I286" s="164" t="str">
        <f t="shared" si="9"/>
        <v>July</v>
      </c>
      <c r="J286" s="52"/>
      <c r="K286" s="53">
        <v>10685</v>
      </c>
      <c r="L286" s="163">
        <v>3</v>
      </c>
    </row>
    <row r="287" spans="1:12" x14ac:dyDescent="0.25">
      <c r="A287" s="158" t="s">
        <v>735</v>
      </c>
      <c r="B287" s="158" t="s">
        <v>465</v>
      </c>
      <c r="C287" s="168" t="s">
        <v>271</v>
      </c>
      <c r="D287" s="167">
        <v>9194743535</v>
      </c>
      <c r="E287" s="166">
        <v>380653169</v>
      </c>
      <c r="F287" s="158" t="s">
        <v>256</v>
      </c>
      <c r="G287" s="165">
        <v>34879</v>
      </c>
      <c r="H287" s="51">
        <f t="shared" ca="1" si="8"/>
        <v>21</v>
      </c>
      <c r="I287" s="164" t="str">
        <f t="shared" si="9"/>
        <v>June</v>
      </c>
      <c r="J287" s="52" t="s">
        <v>283</v>
      </c>
      <c r="K287" s="53">
        <v>98376</v>
      </c>
      <c r="L287" s="163">
        <v>2</v>
      </c>
    </row>
    <row r="288" spans="1:12" x14ac:dyDescent="0.25">
      <c r="A288" s="158" t="s">
        <v>377</v>
      </c>
      <c r="B288" s="158" t="s">
        <v>465</v>
      </c>
      <c r="C288" s="168" t="s">
        <v>285</v>
      </c>
      <c r="D288" s="167">
        <v>9195267252</v>
      </c>
      <c r="E288" s="166">
        <v>276980518</v>
      </c>
      <c r="F288" s="158" t="s">
        <v>256</v>
      </c>
      <c r="G288" s="165">
        <v>39560</v>
      </c>
      <c r="H288" s="51">
        <f t="shared" ca="1" si="8"/>
        <v>8</v>
      </c>
      <c r="I288" s="164" t="str">
        <f t="shared" si="9"/>
        <v>April</v>
      </c>
      <c r="J288" s="52" t="s">
        <v>276</v>
      </c>
      <c r="K288" s="53">
        <v>35304</v>
      </c>
      <c r="L288" s="163">
        <v>5</v>
      </c>
    </row>
    <row r="289" spans="1:12" x14ac:dyDescent="0.25">
      <c r="A289" s="158" t="s">
        <v>1029</v>
      </c>
      <c r="B289" s="158" t="s">
        <v>465</v>
      </c>
      <c r="C289" s="168" t="s">
        <v>285</v>
      </c>
      <c r="D289" s="167">
        <v>9196705508</v>
      </c>
      <c r="E289" s="166">
        <v>378281658</v>
      </c>
      <c r="F289" s="158" t="s">
        <v>247</v>
      </c>
      <c r="G289" s="165">
        <v>38801</v>
      </c>
      <c r="H289" s="51">
        <f t="shared" ca="1" si="8"/>
        <v>10</v>
      </c>
      <c r="I289" s="164" t="str">
        <f t="shared" si="9"/>
        <v>March</v>
      </c>
      <c r="J289" s="52"/>
      <c r="K289" s="53">
        <v>47160</v>
      </c>
      <c r="L289" s="163">
        <v>2</v>
      </c>
    </row>
    <row r="290" spans="1:12" x14ac:dyDescent="0.25">
      <c r="A290" s="158" t="s">
        <v>573</v>
      </c>
      <c r="B290" s="158" t="s">
        <v>465</v>
      </c>
      <c r="C290" s="168" t="s">
        <v>251</v>
      </c>
      <c r="D290" s="167">
        <v>2522126686</v>
      </c>
      <c r="E290" s="166">
        <v>720538680</v>
      </c>
      <c r="F290" s="158" t="s">
        <v>256</v>
      </c>
      <c r="G290" s="165">
        <v>35211</v>
      </c>
      <c r="H290" s="51">
        <f t="shared" ca="1" si="8"/>
        <v>20</v>
      </c>
      <c r="I290" s="164" t="str">
        <f t="shared" si="9"/>
        <v>May</v>
      </c>
      <c r="J290" s="52" t="s">
        <v>257</v>
      </c>
      <c r="K290" s="53">
        <v>97212</v>
      </c>
      <c r="L290" s="163">
        <v>4</v>
      </c>
    </row>
    <row r="291" spans="1:12" x14ac:dyDescent="0.25">
      <c r="A291" s="158" t="s">
        <v>574</v>
      </c>
      <c r="B291" s="158" t="s">
        <v>465</v>
      </c>
      <c r="C291" s="168" t="s">
        <v>280</v>
      </c>
      <c r="D291" s="167">
        <v>2528973095</v>
      </c>
      <c r="E291" s="166">
        <v>969216994</v>
      </c>
      <c r="F291" s="158" t="s">
        <v>247</v>
      </c>
      <c r="G291" s="165">
        <v>37011</v>
      </c>
      <c r="H291" s="51">
        <f t="shared" ca="1" si="8"/>
        <v>15</v>
      </c>
      <c r="I291" s="164" t="str">
        <f t="shared" si="9"/>
        <v>April</v>
      </c>
      <c r="J291" s="52"/>
      <c r="K291" s="53">
        <v>30156</v>
      </c>
      <c r="L291" s="163">
        <v>5</v>
      </c>
    </row>
    <row r="292" spans="1:12" x14ac:dyDescent="0.25">
      <c r="A292" s="158" t="s">
        <v>351</v>
      </c>
      <c r="B292" s="158" t="s">
        <v>465</v>
      </c>
      <c r="C292" s="168" t="s">
        <v>251</v>
      </c>
      <c r="D292" s="167">
        <v>2528669137</v>
      </c>
      <c r="E292" s="166">
        <v>923123594</v>
      </c>
      <c r="F292" s="158" t="s">
        <v>256</v>
      </c>
      <c r="G292" s="165">
        <v>36926</v>
      </c>
      <c r="H292" s="51">
        <f t="shared" ca="1" si="8"/>
        <v>15</v>
      </c>
      <c r="I292" s="164" t="str">
        <f t="shared" si="9"/>
        <v>February</v>
      </c>
      <c r="J292" s="52" t="s">
        <v>276</v>
      </c>
      <c r="K292" s="53">
        <v>97680</v>
      </c>
      <c r="L292" s="163">
        <v>2</v>
      </c>
    </row>
    <row r="293" spans="1:12" x14ac:dyDescent="0.25">
      <c r="A293" s="158" t="s">
        <v>911</v>
      </c>
      <c r="B293" s="158" t="s">
        <v>465</v>
      </c>
      <c r="C293" s="168" t="s">
        <v>280</v>
      </c>
      <c r="D293" s="167">
        <v>9197819805</v>
      </c>
      <c r="E293" s="166">
        <v>575270646</v>
      </c>
      <c r="F293" s="158" t="s">
        <v>256</v>
      </c>
      <c r="G293" s="165">
        <v>40076</v>
      </c>
      <c r="H293" s="51">
        <f t="shared" ca="1" si="8"/>
        <v>7</v>
      </c>
      <c r="I293" s="164" t="str">
        <f t="shared" si="9"/>
        <v>September</v>
      </c>
      <c r="J293" s="52" t="s">
        <v>257</v>
      </c>
      <c r="K293" s="53">
        <v>55464</v>
      </c>
      <c r="L293" s="163">
        <v>2</v>
      </c>
    </row>
    <row r="294" spans="1:12" x14ac:dyDescent="0.25">
      <c r="A294" s="158" t="s">
        <v>1000</v>
      </c>
      <c r="B294" s="158" t="s">
        <v>465</v>
      </c>
      <c r="C294" s="168" t="s">
        <v>271</v>
      </c>
      <c r="D294" s="167">
        <v>2525344270</v>
      </c>
      <c r="E294" s="166">
        <v>468053610</v>
      </c>
      <c r="F294" s="158" t="s">
        <v>256</v>
      </c>
      <c r="G294" s="165">
        <v>38237</v>
      </c>
      <c r="H294" s="51">
        <f t="shared" ca="1" si="8"/>
        <v>12</v>
      </c>
      <c r="I294" s="164" t="str">
        <f t="shared" si="9"/>
        <v>September</v>
      </c>
      <c r="J294" s="52" t="s">
        <v>283</v>
      </c>
      <c r="K294" s="53">
        <v>82896</v>
      </c>
      <c r="L294" s="163">
        <v>3</v>
      </c>
    </row>
    <row r="295" spans="1:12" x14ac:dyDescent="0.25">
      <c r="A295" s="158" t="s">
        <v>662</v>
      </c>
      <c r="B295" s="158" t="s">
        <v>465</v>
      </c>
      <c r="C295" s="168" t="s">
        <v>285</v>
      </c>
      <c r="D295" s="167">
        <v>9192375580</v>
      </c>
      <c r="E295" s="166">
        <v>594680949</v>
      </c>
      <c r="F295" s="158" t="s">
        <v>261</v>
      </c>
      <c r="G295" s="165">
        <v>37150</v>
      </c>
      <c r="H295" s="51">
        <f t="shared" ca="1" si="8"/>
        <v>15</v>
      </c>
      <c r="I295" s="164" t="str">
        <f t="shared" si="9"/>
        <v>September</v>
      </c>
      <c r="J295" s="52" t="s">
        <v>283</v>
      </c>
      <c r="K295" s="53">
        <v>20724</v>
      </c>
      <c r="L295" s="163">
        <v>5</v>
      </c>
    </row>
    <row r="296" spans="1:12" x14ac:dyDescent="0.25">
      <c r="A296" s="158" t="s">
        <v>663</v>
      </c>
      <c r="B296" s="158" t="s">
        <v>465</v>
      </c>
      <c r="C296" s="168" t="s">
        <v>285</v>
      </c>
      <c r="D296" s="167">
        <v>9192380636</v>
      </c>
      <c r="E296" s="166">
        <v>930282755</v>
      </c>
      <c r="F296" s="158" t="s">
        <v>261</v>
      </c>
      <c r="G296" s="165">
        <v>35917</v>
      </c>
      <c r="H296" s="51">
        <f t="shared" ca="1" si="8"/>
        <v>18</v>
      </c>
      <c r="I296" s="164" t="str">
        <f t="shared" si="9"/>
        <v>May</v>
      </c>
      <c r="J296" s="52" t="s">
        <v>257</v>
      </c>
      <c r="K296" s="53">
        <v>55542</v>
      </c>
      <c r="L296" s="163">
        <v>5</v>
      </c>
    </row>
    <row r="297" spans="1:12" x14ac:dyDescent="0.25">
      <c r="A297" s="158" t="s">
        <v>665</v>
      </c>
      <c r="B297" s="158" t="s">
        <v>465</v>
      </c>
      <c r="C297" s="168" t="s">
        <v>280</v>
      </c>
      <c r="D297" s="167">
        <v>9195915044</v>
      </c>
      <c r="E297" s="166">
        <v>177332873</v>
      </c>
      <c r="F297" s="158" t="s">
        <v>256</v>
      </c>
      <c r="G297" s="165">
        <v>37141</v>
      </c>
      <c r="H297" s="51">
        <f t="shared" ca="1" si="8"/>
        <v>15</v>
      </c>
      <c r="I297" s="164" t="str">
        <f t="shared" si="9"/>
        <v>September</v>
      </c>
      <c r="J297" s="52" t="s">
        <v>257</v>
      </c>
      <c r="K297" s="53">
        <v>48072</v>
      </c>
      <c r="L297" s="163">
        <v>3</v>
      </c>
    </row>
    <row r="298" spans="1:12" x14ac:dyDescent="0.25">
      <c r="A298" s="158" t="s">
        <v>585</v>
      </c>
      <c r="B298" s="158" t="s">
        <v>465</v>
      </c>
      <c r="C298" s="168" t="s">
        <v>245</v>
      </c>
      <c r="D298" s="167">
        <v>9195228292</v>
      </c>
      <c r="E298" s="166">
        <v>612295735</v>
      </c>
      <c r="F298" s="158" t="s">
        <v>256</v>
      </c>
      <c r="G298" s="165">
        <v>36239</v>
      </c>
      <c r="H298" s="51">
        <f t="shared" ca="1" si="8"/>
        <v>17</v>
      </c>
      <c r="I298" s="164" t="str">
        <f t="shared" si="9"/>
        <v>March</v>
      </c>
      <c r="J298" s="52" t="s">
        <v>283</v>
      </c>
      <c r="K298" s="53">
        <v>87773</v>
      </c>
      <c r="L298" s="163">
        <v>5</v>
      </c>
    </row>
    <row r="299" spans="1:12" x14ac:dyDescent="0.25">
      <c r="A299" s="158" t="s">
        <v>738</v>
      </c>
      <c r="B299" s="158" t="s">
        <v>465</v>
      </c>
      <c r="C299" s="168" t="s">
        <v>266</v>
      </c>
      <c r="D299" s="167">
        <v>9192354572</v>
      </c>
      <c r="E299" s="166">
        <v>881975933</v>
      </c>
      <c r="F299" s="158" t="s">
        <v>256</v>
      </c>
      <c r="G299" s="165">
        <v>36558</v>
      </c>
      <c r="H299" s="51">
        <f t="shared" ca="1" si="8"/>
        <v>16</v>
      </c>
      <c r="I299" s="164" t="str">
        <f t="shared" si="9"/>
        <v>February</v>
      </c>
      <c r="J299" s="52" t="s">
        <v>267</v>
      </c>
      <c r="K299" s="53">
        <v>42552</v>
      </c>
      <c r="L299" s="163">
        <v>5</v>
      </c>
    </row>
    <row r="300" spans="1:12" x14ac:dyDescent="0.25">
      <c r="A300" s="158" t="s">
        <v>587</v>
      </c>
      <c r="B300" s="158" t="s">
        <v>465</v>
      </c>
      <c r="C300" s="168" t="s">
        <v>245</v>
      </c>
      <c r="D300" s="167">
        <v>2526657361</v>
      </c>
      <c r="E300" s="166">
        <v>354619285</v>
      </c>
      <c r="F300" s="158" t="s">
        <v>256</v>
      </c>
      <c r="G300" s="165">
        <v>36850</v>
      </c>
      <c r="H300" s="51">
        <f t="shared" ca="1" si="8"/>
        <v>15</v>
      </c>
      <c r="I300" s="164" t="str">
        <f t="shared" si="9"/>
        <v>November</v>
      </c>
      <c r="J300" s="52" t="s">
        <v>262</v>
      </c>
      <c r="K300" s="53">
        <v>27192</v>
      </c>
      <c r="L300" s="163">
        <v>2</v>
      </c>
    </row>
    <row r="301" spans="1:12" x14ac:dyDescent="0.25">
      <c r="A301" s="158" t="s">
        <v>588</v>
      </c>
      <c r="B301" s="158" t="s">
        <v>465</v>
      </c>
      <c r="C301" s="168" t="s">
        <v>271</v>
      </c>
      <c r="D301" s="167">
        <v>9193302808</v>
      </c>
      <c r="E301" s="166">
        <v>259573806</v>
      </c>
      <c r="F301" s="158" t="s">
        <v>256</v>
      </c>
      <c r="G301" s="165">
        <v>34376</v>
      </c>
      <c r="H301" s="51">
        <f t="shared" ca="1" si="8"/>
        <v>22</v>
      </c>
      <c r="I301" s="164" t="str">
        <f t="shared" si="9"/>
        <v>February</v>
      </c>
      <c r="J301" s="52" t="s">
        <v>276</v>
      </c>
      <c r="K301" s="53">
        <v>72456</v>
      </c>
      <c r="L301" s="163">
        <v>4</v>
      </c>
    </row>
    <row r="302" spans="1:12" x14ac:dyDescent="0.25">
      <c r="A302" s="158" t="s">
        <v>912</v>
      </c>
      <c r="B302" s="158" t="s">
        <v>465</v>
      </c>
      <c r="C302" s="168" t="s">
        <v>285</v>
      </c>
      <c r="D302" s="167">
        <v>9192232339</v>
      </c>
      <c r="E302" s="166">
        <v>798466688</v>
      </c>
      <c r="F302" s="158" t="s">
        <v>256</v>
      </c>
      <c r="G302" s="165">
        <v>40931</v>
      </c>
      <c r="H302" s="51">
        <f t="shared" ca="1" si="8"/>
        <v>4</v>
      </c>
      <c r="I302" s="164" t="str">
        <f t="shared" si="9"/>
        <v>January</v>
      </c>
      <c r="J302" s="52" t="s">
        <v>257</v>
      </c>
      <c r="K302" s="53">
        <v>42720</v>
      </c>
      <c r="L302" s="163">
        <v>5</v>
      </c>
    </row>
    <row r="303" spans="1:12" x14ac:dyDescent="0.25">
      <c r="A303" s="158" t="s">
        <v>1003</v>
      </c>
      <c r="B303" s="158" t="s">
        <v>465</v>
      </c>
      <c r="C303" s="168" t="s">
        <v>285</v>
      </c>
      <c r="D303" s="167">
        <v>9193695179</v>
      </c>
      <c r="E303" s="166">
        <v>618535019</v>
      </c>
      <c r="F303" s="158" t="s">
        <v>256</v>
      </c>
      <c r="G303" s="165">
        <v>36660</v>
      </c>
      <c r="H303" s="51">
        <f t="shared" ca="1" si="8"/>
        <v>16</v>
      </c>
      <c r="I303" s="164" t="str">
        <f t="shared" si="9"/>
        <v>May</v>
      </c>
      <c r="J303" s="52" t="s">
        <v>283</v>
      </c>
      <c r="K303" s="53">
        <v>107688</v>
      </c>
      <c r="L303" s="163">
        <v>5</v>
      </c>
    </row>
    <row r="304" spans="1:12" x14ac:dyDescent="0.25">
      <c r="A304" s="158" t="s">
        <v>286</v>
      </c>
      <c r="B304" s="158" t="s">
        <v>465</v>
      </c>
      <c r="C304" s="168" t="s">
        <v>245</v>
      </c>
      <c r="D304" s="167">
        <v>2525228252</v>
      </c>
      <c r="E304" s="166">
        <v>416394493</v>
      </c>
      <c r="F304" s="158" t="s">
        <v>256</v>
      </c>
      <c r="G304" s="165">
        <v>36666</v>
      </c>
      <c r="H304" s="51">
        <f t="shared" ca="1" si="8"/>
        <v>16</v>
      </c>
      <c r="I304" s="164" t="str">
        <f t="shared" si="9"/>
        <v>May</v>
      </c>
      <c r="J304" s="52" t="s">
        <v>267</v>
      </c>
      <c r="K304" s="53">
        <v>66540</v>
      </c>
      <c r="L304" s="163">
        <v>5</v>
      </c>
    </row>
    <row r="305" spans="1:12" x14ac:dyDescent="0.25">
      <c r="A305" s="158" t="s">
        <v>592</v>
      </c>
      <c r="B305" s="158" t="s">
        <v>465</v>
      </c>
      <c r="C305" s="168" t="s">
        <v>280</v>
      </c>
      <c r="D305" s="167">
        <v>9193204992</v>
      </c>
      <c r="E305" s="166">
        <v>396727504</v>
      </c>
      <c r="F305" s="158" t="s">
        <v>247</v>
      </c>
      <c r="G305" s="165">
        <v>37328</v>
      </c>
      <c r="H305" s="51">
        <f t="shared" ca="1" si="8"/>
        <v>14</v>
      </c>
      <c r="I305" s="164" t="str">
        <f t="shared" si="9"/>
        <v>March</v>
      </c>
      <c r="J305" s="52"/>
      <c r="K305" s="53">
        <v>50208</v>
      </c>
      <c r="L305" s="163">
        <v>2</v>
      </c>
    </row>
    <row r="306" spans="1:12" x14ac:dyDescent="0.25">
      <c r="A306" s="158" t="s">
        <v>623</v>
      </c>
      <c r="B306" s="158" t="s">
        <v>465</v>
      </c>
      <c r="C306" s="168" t="s">
        <v>245</v>
      </c>
      <c r="D306" s="167">
        <v>9191765611</v>
      </c>
      <c r="E306" s="166">
        <v>466947318</v>
      </c>
      <c r="F306" s="158" t="s">
        <v>256</v>
      </c>
      <c r="G306" s="165">
        <v>41306</v>
      </c>
      <c r="H306" s="51">
        <f t="shared" ca="1" si="8"/>
        <v>3</v>
      </c>
      <c r="I306" s="164" t="str">
        <f t="shared" si="9"/>
        <v>February</v>
      </c>
      <c r="J306" s="52" t="s">
        <v>257</v>
      </c>
      <c r="K306" s="53">
        <v>52584</v>
      </c>
      <c r="L306" s="163">
        <v>2</v>
      </c>
    </row>
    <row r="307" spans="1:12" x14ac:dyDescent="0.25">
      <c r="A307" s="158" t="s">
        <v>355</v>
      </c>
      <c r="B307" s="158" t="s">
        <v>465</v>
      </c>
      <c r="C307" s="168" t="s">
        <v>245</v>
      </c>
      <c r="D307" s="167">
        <v>2522140101</v>
      </c>
      <c r="E307" s="166">
        <v>138607245</v>
      </c>
      <c r="F307" s="158" t="s">
        <v>247</v>
      </c>
      <c r="G307" s="165">
        <v>34781</v>
      </c>
      <c r="H307" s="51">
        <f t="shared" ca="1" si="8"/>
        <v>21</v>
      </c>
      <c r="I307" s="164" t="str">
        <f t="shared" si="9"/>
        <v>March</v>
      </c>
      <c r="J307" s="52"/>
      <c r="K307" s="53">
        <v>95064</v>
      </c>
      <c r="L307" s="163">
        <v>4</v>
      </c>
    </row>
    <row r="308" spans="1:12" x14ac:dyDescent="0.25">
      <c r="A308" s="158" t="s">
        <v>1470</v>
      </c>
      <c r="B308" s="158" t="s">
        <v>465</v>
      </c>
      <c r="C308" s="168" t="s">
        <v>266</v>
      </c>
      <c r="D308" s="167">
        <v>2527919826</v>
      </c>
      <c r="E308" s="166">
        <v>906321388</v>
      </c>
      <c r="F308" s="158" t="s">
        <v>247</v>
      </c>
      <c r="G308" s="165">
        <v>36088</v>
      </c>
      <c r="H308" s="51">
        <f t="shared" ca="1" si="8"/>
        <v>18</v>
      </c>
      <c r="I308" s="164" t="str">
        <f t="shared" si="9"/>
        <v>October</v>
      </c>
      <c r="J308" s="52"/>
      <c r="K308" s="53">
        <v>33912</v>
      </c>
      <c r="L308" s="163">
        <v>5</v>
      </c>
    </row>
    <row r="309" spans="1:12" x14ac:dyDescent="0.25">
      <c r="A309" s="158" t="s">
        <v>593</v>
      </c>
      <c r="B309" s="158" t="s">
        <v>465</v>
      </c>
      <c r="C309" s="168" t="s">
        <v>271</v>
      </c>
      <c r="D309" s="167">
        <v>2527461285</v>
      </c>
      <c r="E309" s="166">
        <v>569701716</v>
      </c>
      <c r="F309" s="158" t="s">
        <v>261</v>
      </c>
      <c r="G309" s="165">
        <v>36905</v>
      </c>
      <c r="H309" s="51">
        <f t="shared" ca="1" si="8"/>
        <v>15</v>
      </c>
      <c r="I309" s="164" t="str">
        <f t="shared" si="9"/>
        <v>January</v>
      </c>
      <c r="J309" s="52" t="s">
        <v>267</v>
      </c>
      <c r="K309" s="53">
        <v>26004</v>
      </c>
      <c r="L309" s="163">
        <v>2</v>
      </c>
    </row>
    <row r="310" spans="1:12" x14ac:dyDescent="0.25">
      <c r="A310" s="158" t="s">
        <v>837</v>
      </c>
      <c r="B310" s="158" t="s">
        <v>465</v>
      </c>
      <c r="C310" s="168" t="s">
        <v>285</v>
      </c>
      <c r="D310" s="167">
        <v>9195197037</v>
      </c>
      <c r="E310" s="166">
        <v>399060898</v>
      </c>
      <c r="F310" s="158" t="s">
        <v>247</v>
      </c>
      <c r="G310" s="165">
        <v>39049</v>
      </c>
      <c r="H310" s="51">
        <f t="shared" ca="1" si="8"/>
        <v>9</v>
      </c>
      <c r="I310" s="164" t="str">
        <f t="shared" si="9"/>
        <v>November</v>
      </c>
      <c r="J310" s="52"/>
      <c r="K310" s="53">
        <v>45576</v>
      </c>
      <c r="L310" s="163">
        <v>4</v>
      </c>
    </row>
    <row r="311" spans="1:12" x14ac:dyDescent="0.25">
      <c r="A311" s="158" t="s">
        <v>1010</v>
      </c>
      <c r="B311" s="158" t="s">
        <v>465</v>
      </c>
      <c r="C311" s="168" t="s">
        <v>245</v>
      </c>
      <c r="D311" s="167">
        <v>2528405900</v>
      </c>
      <c r="E311" s="166">
        <v>661850671</v>
      </c>
      <c r="F311" s="158" t="s">
        <v>252</v>
      </c>
      <c r="G311" s="165">
        <v>36557</v>
      </c>
      <c r="H311" s="51">
        <f t="shared" ca="1" si="8"/>
        <v>16</v>
      </c>
      <c r="I311" s="164" t="str">
        <f t="shared" si="9"/>
        <v>February</v>
      </c>
      <c r="J311" s="52"/>
      <c r="K311" s="53">
        <v>35011</v>
      </c>
      <c r="L311" s="163">
        <v>3</v>
      </c>
    </row>
    <row r="312" spans="1:12" x14ac:dyDescent="0.25">
      <c r="A312" s="158" t="s">
        <v>697</v>
      </c>
      <c r="B312" s="158" t="s">
        <v>465</v>
      </c>
      <c r="C312" s="168" t="s">
        <v>245</v>
      </c>
      <c r="D312" s="167">
        <v>2526213620</v>
      </c>
      <c r="E312" s="166">
        <v>467030396</v>
      </c>
      <c r="F312" s="158" t="s">
        <v>256</v>
      </c>
      <c r="G312" s="165">
        <v>34448</v>
      </c>
      <c r="H312" s="51">
        <f t="shared" ca="1" si="8"/>
        <v>22</v>
      </c>
      <c r="I312" s="164" t="str">
        <f t="shared" si="9"/>
        <v>April</v>
      </c>
      <c r="J312" s="52" t="s">
        <v>283</v>
      </c>
      <c r="K312" s="53">
        <v>70692</v>
      </c>
      <c r="L312" s="163">
        <v>1</v>
      </c>
    </row>
    <row r="313" spans="1:12" x14ac:dyDescent="0.25">
      <c r="A313" s="158" t="s">
        <v>669</v>
      </c>
      <c r="B313" s="158" t="s">
        <v>465</v>
      </c>
      <c r="C313" s="168" t="s">
        <v>285</v>
      </c>
      <c r="D313" s="167">
        <v>2522889972</v>
      </c>
      <c r="E313" s="166">
        <v>565952209</v>
      </c>
      <c r="F313" s="158" t="s">
        <v>256</v>
      </c>
      <c r="G313" s="165">
        <v>35699</v>
      </c>
      <c r="H313" s="51">
        <f t="shared" ca="1" si="8"/>
        <v>19</v>
      </c>
      <c r="I313" s="164" t="str">
        <f t="shared" si="9"/>
        <v>September</v>
      </c>
      <c r="J313" s="52" t="s">
        <v>283</v>
      </c>
      <c r="K313" s="53">
        <v>80460</v>
      </c>
      <c r="L313" s="163">
        <v>4</v>
      </c>
    </row>
    <row r="314" spans="1:12" x14ac:dyDescent="0.25">
      <c r="A314" s="158" t="s">
        <v>1012</v>
      </c>
      <c r="B314" s="158" t="s">
        <v>465</v>
      </c>
      <c r="C314" s="168" t="s">
        <v>285</v>
      </c>
      <c r="D314" s="167">
        <v>2522153322</v>
      </c>
      <c r="E314" s="166">
        <v>635767088</v>
      </c>
      <c r="F314" s="158" t="s">
        <v>247</v>
      </c>
      <c r="G314" s="165">
        <v>37705</v>
      </c>
      <c r="H314" s="51">
        <f t="shared" ca="1" si="8"/>
        <v>13</v>
      </c>
      <c r="I314" s="164" t="str">
        <f t="shared" si="9"/>
        <v>March</v>
      </c>
      <c r="J314" s="52"/>
      <c r="K314" s="53">
        <v>82212</v>
      </c>
      <c r="L314" s="163">
        <v>5</v>
      </c>
    </row>
    <row r="315" spans="1:12" x14ac:dyDescent="0.25">
      <c r="A315" s="158" t="s">
        <v>742</v>
      </c>
      <c r="B315" s="158" t="s">
        <v>465</v>
      </c>
      <c r="C315" s="168" t="s">
        <v>245</v>
      </c>
      <c r="D315" s="167">
        <v>9195119214</v>
      </c>
      <c r="E315" s="166">
        <v>136620388</v>
      </c>
      <c r="F315" s="158" t="s">
        <v>256</v>
      </c>
      <c r="G315" s="165">
        <v>36442</v>
      </c>
      <c r="H315" s="51">
        <f t="shared" ca="1" si="8"/>
        <v>17</v>
      </c>
      <c r="I315" s="164" t="str">
        <f t="shared" si="9"/>
        <v>October</v>
      </c>
      <c r="J315" s="52" t="s">
        <v>262</v>
      </c>
      <c r="K315" s="53">
        <v>84024</v>
      </c>
      <c r="L315" s="163">
        <v>3</v>
      </c>
    </row>
    <row r="316" spans="1:12" x14ac:dyDescent="0.25">
      <c r="A316" s="158" t="s">
        <v>1013</v>
      </c>
      <c r="B316" s="158" t="s">
        <v>465</v>
      </c>
      <c r="C316" s="168" t="s">
        <v>271</v>
      </c>
      <c r="D316" s="167">
        <v>9198857217</v>
      </c>
      <c r="E316" s="166">
        <v>665773893</v>
      </c>
      <c r="F316" s="158" t="s">
        <v>252</v>
      </c>
      <c r="G316" s="165">
        <v>41302</v>
      </c>
      <c r="H316" s="51">
        <f t="shared" ca="1" si="8"/>
        <v>3</v>
      </c>
      <c r="I316" s="164" t="str">
        <f t="shared" si="9"/>
        <v>January</v>
      </c>
      <c r="J316" s="52"/>
      <c r="K316" s="53">
        <v>34109</v>
      </c>
      <c r="L316" s="163">
        <v>4</v>
      </c>
    </row>
    <row r="317" spans="1:12" x14ac:dyDescent="0.25">
      <c r="A317" s="158" t="s">
        <v>1014</v>
      </c>
      <c r="B317" s="158" t="s">
        <v>465</v>
      </c>
      <c r="C317" s="168" t="s">
        <v>271</v>
      </c>
      <c r="D317" s="167">
        <v>2524982487</v>
      </c>
      <c r="E317" s="166">
        <v>829216164</v>
      </c>
      <c r="F317" s="158" t="s">
        <v>247</v>
      </c>
      <c r="G317" s="165">
        <v>40273</v>
      </c>
      <c r="H317" s="51">
        <f t="shared" ca="1" si="8"/>
        <v>6</v>
      </c>
      <c r="I317" s="164" t="str">
        <f t="shared" si="9"/>
        <v>April</v>
      </c>
      <c r="J317" s="52"/>
      <c r="K317" s="53">
        <v>101004</v>
      </c>
      <c r="L317" s="163">
        <v>2</v>
      </c>
    </row>
    <row r="318" spans="1:12" x14ac:dyDescent="0.25">
      <c r="A318" s="158" t="s">
        <v>603</v>
      </c>
      <c r="B318" s="158" t="s">
        <v>465</v>
      </c>
      <c r="C318" s="168" t="s">
        <v>280</v>
      </c>
      <c r="D318" s="167">
        <v>2526503334</v>
      </c>
      <c r="E318" s="166">
        <v>180095803</v>
      </c>
      <c r="F318" s="158" t="s">
        <v>256</v>
      </c>
      <c r="G318" s="165">
        <v>40700</v>
      </c>
      <c r="H318" s="51">
        <f t="shared" ca="1" si="8"/>
        <v>5</v>
      </c>
      <c r="I318" s="164" t="str">
        <f t="shared" si="9"/>
        <v>June</v>
      </c>
      <c r="J318" s="52" t="s">
        <v>257</v>
      </c>
      <c r="K318" s="53">
        <v>93804</v>
      </c>
      <c r="L318" s="163">
        <v>5</v>
      </c>
    </row>
    <row r="319" spans="1:12" x14ac:dyDescent="0.25">
      <c r="A319" s="158" t="s">
        <v>604</v>
      </c>
      <c r="B319" s="158" t="s">
        <v>465</v>
      </c>
      <c r="C319" s="168" t="s">
        <v>271</v>
      </c>
      <c r="D319" s="167">
        <v>2526052545</v>
      </c>
      <c r="E319" s="166">
        <v>698869555</v>
      </c>
      <c r="F319" s="158" t="s">
        <v>261</v>
      </c>
      <c r="G319" s="165">
        <v>37231</v>
      </c>
      <c r="H319" s="51">
        <f t="shared" ca="1" si="8"/>
        <v>14</v>
      </c>
      <c r="I319" s="164" t="str">
        <f t="shared" si="9"/>
        <v>December</v>
      </c>
      <c r="J319" s="52" t="s">
        <v>267</v>
      </c>
      <c r="K319" s="53">
        <v>49938</v>
      </c>
      <c r="L319" s="163">
        <v>1</v>
      </c>
    </row>
    <row r="320" spans="1:12" x14ac:dyDescent="0.25">
      <c r="A320" s="158" t="s">
        <v>303</v>
      </c>
      <c r="B320" s="158" t="s">
        <v>465</v>
      </c>
      <c r="C320" s="168" t="s">
        <v>251</v>
      </c>
      <c r="D320" s="167">
        <v>2521854525</v>
      </c>
      <c r="E320" s="166">
        <v>682907379</v>
      </c>
      <c r="F320" s="158" t="s">
        <v>256</v>
      </c>
      <c r="G320" s="165">
        <v>36039</v>
      </c>
      <c r="H320" s="51">
        <f t="shared" ca="1" si="8"/>
        <v>18</v>
      </c>
      <c r="I320" s="164" t="str">
        <f t="shared" si="9"/>
        <v>September</v>
      </c>
      <c r="J320" s="52" t="s">
        <v>267</v>
      </c>
      <c r="K320" s="53">
        <v>47424</v>
      </c>
      <c r="L320" s="163">
        <v>5</v>
      </c>
    </row>
    <row r="321" spans="1:12" x14ac:dyDescent="0.25">
      <c r="A321" s="158" t="s">
        <v>674</v>
      </c>
      <c r="B321" s="158" t="s">
        <v>465</v>
      </c>
      <c r="C321" s="168" t="s">
        <v>280</v>
      </c>
      <c r="D321" s="167">
        <v>9197961953</v>
      </c>
      <c r="E321" s="166">
        <v>312019803</v>
      </c>
      <c r="F321" s="158" t="s">
        <v>256</v>
      </c>
      <c r="G321" s="165">
        <v>37957</v>
      </c>
      <c r="H321" s="51">
        <f t="shared" ca="1" si="8"/>
        <v>12</v>
      </c>
      <c r="I321" s="164" t="str">
        <f t="shared" si="9"/>
        <v>December</v>
      </c>
      <c r="J321" s="52" t="s">
        <v>283</v>
      </c>
      <c r="K321" s="53">
        <v>30372</v>
      </c>
      <c r="L321" s="163">
        <v>4</v>
      </c>
    </row>
    <row r="322" spans="1:12" x14ac:dyDescent="0.25">
      <c r="A322" s="158" t="s">
        <v>450</v>
      </c>
      <c r="B322" s="158" t="s">
        <v>465</v>
      </c>
      <c r="C322" s="168" t="s">
        <v>251</v>
      </c>
      <c r="D322" s="167">
        <v>2523077504</v>
      </c>
      <c r="E322" s="166">
        <v>624234626</v>
      </c>
      <c r="F322" s="158" t="s">
        <v>261</v>
      </c>
      <c r="G322" s="165">
        <v>36071</v>
      </c>
      <c r="H322" s="51">
        <f t="shared" ref="H322:H385" ca="1" si="10">DATEDIF(G322,TODAY(),"Y")</f>
        <v>18</v>
      </c>
      <c r="I322" s="164" t="str">
        <f t="shared" ref="I322:I385" si="11">CHOOSE(MONTH(G322),"January","February","March","April","May","June","July","August","September","October","November","December")</f>
        <v>October</v>
      </c>
      <c r="J322" s="52" t="s">
        <v>257</v>
      </c>
      <c r="K322" s="53">
        <v>55974</v>
      </c>
      <c r="L322" s="163">
        <v>5</v>
      </c>
    </row>
    <row r="323" spans="1:12" x14ac:dyDescent="0.25">
      <c r="A323" s="158" t="s">
        <v>608</v>
      </c>
      <c r="B323" s="158" t="s">
        <v>465</v>
      </c>
      <c r="C323" s="168" t="s">
        <v>271</v>
      </c>
      <c r="D323" s="167">
        <v>9195858234</v>
      </c>
      <c r="E323" s="166">
        <v>512405919</v>
      </c>
      <c r="F323" s="158" t="s">
        <v>256</v>
      </c>
      <c r="G323" s="165">
        <v>38164</v>
      </c>
      <c r="H323" s="51">
        <f t="shared" ca="1" si="10"/>
        <v>12</v>
      </c>
      <c r="I323" s="164" t="str">
        <f t="shared" si="11"/>
        <v>June</v>
      </c>
      <c r="J323" s="52" t="s">
        <v>267</v>
      </c>
      <c r="K323" s="53">
        <v>76956</v>
      </c>
      <c r="L323" s="163">
        <v>1</v>
      </c>
    </row>
    <row r="324" spans="1:12" x14ac:dyDescent="0.25">
      <c r="A324" s="158" t="s">
        <v>845</v>
      </c>
      <c r="B324" s="158" t="s">
        <v>465</v>
      </c>
      <c r="C324" s="168" t="s">
        <v>280</v>
      </c>
      <c r="D324" s="167">
        <v>9198721709</v>
      </c>
      <c r="E324" s="166">
        <v>596008829</v>
      </c>
      <c r="F324" s="158" t="s">
        <v>247</v>
      </c>
      <c r="G324" s="165">
        <v>36739</v>
      </c>
      <c r="H324" s="51">
        <f t="shared" ca="1" si="10"/>
        <v>16</v>
      </c>
      <c r="I324" s="164" t="str">
        <f t="shared" si="11"/>
        <v>August</v>
      </c>
      <c r="J324" s="52"/>
      <c r="K324" s="53">
        <v>54060</v>
      </c>
      <c r="L324" s="163">
        <v>1</v>
      </c>
    </row>
    <row r="325" spans="1:12" x14ac:dyDescent="0.25">
      <c r="A325" s="158" t="s">
        <v>304</v>
      </c>
      <c r="B325" s="158" t="s">
        <v>465</v>
      </c>
      <c r="C325" s="168" t="s">
        <v>280</v>
      </c>
      <c r="D325" s="167">
        <v>2521549933</v>
      </c>
      <c r="E325" s="166">
        <v>366740174</v>
      </c>
      <c r="F325" s="158" t="s">
        <v>252</v>
      </c>
      <c r="G325" s="165">
        <v>34893</v>
      </c>
      <c r="H325" s="51">
        <f t="shared" ca="1" si="10"/>
        <v>21</v>
      </c>
      <c r="I325" s="164" t="str">
        <f t="shared" si="11"/>
        <v>July</v>
      </c>
      <c r="J325" s="52"/>
      <c r="K325" s="53">
        <v>36499</v>
      </c>
      <c r="L325" s="163">
        <v>1</v>
      </c>
    </row>
    <row r="326" spans="1:12" x14ac:dyDescent="0.25">
      <c r="A326" s="158" t="s">
        <v>1018</v>
      </c>
      <c r="B326" s="158" t="s">
        <v>465</v>
      </c>
      <c r="C326" s="168" t="s">
        <v>285</v>
      </c>
      <c r="D326" s="167">
        <v>2524694617</v>
      </c>
      <c r="E326" s="166">
        <v>114005397</v>
      </c>
      <c r="F326" s="158" t="s">
        <v>247</v>
      </c>
      <c r="G326" s="165">
        <v>39917</v>
      </c>
      <c r="H326" s="51">
        <f t="shared" ca="1" si="10"/>
        <v>7</v>
      </c>
      <c r="I326" s="164" t="str">
        <f t="shared" si="11"/>
        <v>April</v>
      </c>
      <c r="J326" s="52"/>
      <c r="K326" s="53">
        <v>76620</v>
      </c>
      <c r="L326" s="163">
        <v>2</v>
      </c>
    </row>
    <row r="327" spans="1:12" x14ac:dyDescent="0.25">
      <c r="A327" s="158" t="s">
        <v>1019</v>
      </c>
      <c r="B327" s="158" t="s">
        <v>465</v>
      </c>
      <c r="C327" s="168" t="s">
        <v>251</v>
      </c>
      <c r="D327" s="167">
        <v>9198912054</v>
      </c>
      <c r="E327" s="166">
        <v>240272873</v>
      </c>
      <c r="F327" s="158" t="s">
        <v>247</v>
      </c>
      <c r="G327" s="165">
        <v>39640</v>
      </c>
      <c r="H327" s="51">
        <f t="shared" ca="1" si="10"/>
        <v>8</v>
      </c>
      <c r="I327" s="164" t="str">
        <f t="shared" si="11"/>
        <v>July</v>
      </c>
      <c r="J327" s="52"/>
      <c r="K327" s="53">
        <v>96396</v>
      </c>
      <c r="L327" s="163">
        <v>4</v>
      </c>
    </row>
    <row r="328" spans="1:12" x14ac:dyDescent="0.25">
      <c r="A328" s="158" t="s">
        <v>293</v>
      </c>
      <c r="B328" s="158" t="s">
        <v>465</v>
      </c>
      <c r="C328" s="168" t="s">
        <v>271</v>
      </c>
      <c r="D328" s="167">
        <v>9192520526</v>
      </c>
      <c r="E328" s="166">
        <v>708108747</v>
      </c>
      <c r="F328" s="158" t="s">
        <v>256</v>
      </c>
      <c r="G328" s="165">
        <v>38671</v>
      </c>
      <c r="H328" s="51">
        <f t="shared" ca="1" si="10"/>
        <v>11</v>
      </c>
      <c r="I328" s="164" t="str">
        <f t="shared" si="11"/>
        <v>November</v>
      </c>
      <c r="J328" s="52" t="s">
        <v>257</v>
      </c>
      <c r="K328" s="53">
        <v>90211</v>
      </c>
      <c r="L328" s="163">
        <v>3</v>
      </c>
    </row>
    <row r="329" spans="1:12" x14ac:dyDescent="0.25">
      <c r="A329" s="158" t="s">
        <v>614</v>
      </c>
      <c r="B329" s="158" t="s">
        <v>465</v>
      </c>
      <c r="C329" s="168" t="s">
        <v>271</v>
      </c>
      <c r="D329" s="167">
        <v>2528560698</v>
      </c>
      <c r="E329" s="166">
        <v>501523688</v>
      </c>
      <c r="F329" s="158" t="s">
        <v>256</v>
      </c>
      <c r="G329" s="165">
        <v>36248</v>
      </c>
      <c r="H329" s="51">
        <f t="shared" ca="1" si="10"/>
        <v>17</v>
      </c>
      <c r="I329" s="164" t="str">
        <f t="shared" si="11"/>
        <v>March</v>
      </c>
      <c r="J329" s="52" t="s">
        <v>257</v>
      </c>
      <c r="K329" s="53">
        <v>95676</v>
      </c>
      <c r="L329" s="163">
        <v>2</v>
      </c>
    </row>
    <row r="330" spans="1:12" x14ac:dyDescent="0.25">
      <c r="A330" s="158" t="s">
        <v>615</v>
      </c>
      <c r="B330" s="158" t="s">
        <v>465</v>
      </c>
      <c r="C330" s="168" t="s">
        <v>271</v>
      </c>
      <c r="D330" s="167">
        <v>2528801464</v>
      </c>
      <c r="E330" s="166">
        <v>806508287</v>
      </c>
      <c r="F330" s="158" t="s">
        <v>256</v>
      </c>
      <c r="G330" s="165">
        <v>34359</v>
      </c>
      <c r="H330" s="51">
        <f t="shared" ca="1" si="10"/>
        <v>22</v>
      </c>
      <c r="I330" s="164" t="str">
        <f t="shared" si="11"/>
        <v>January</v>
      </c>
      <c r="J330" s="52" t="s">
        <v>257</v>
      </c>
      <c r="K330" s="53">
        <v>63528</v>
      </c>
      <c r="L330" s="163">
        <v>4</v>
      </c>
    </row>
    <row r="331" spans="1:12" x14ac:dyDescent="0.25">
      <c r="A331" s="158" t="s">
        <v>294</v>
      </c>
      <c r="B331" s="158" t="s">
        <v>465</v>
      </c>
      <c r="C331" s="168" t="s">
        <v>245</v>
      </c>
      <c r="D331" s="167">
        <v>2522888726</v>
      </c>
      <c r="E331" s="166">
        <v>684054281</v>
      </c>
      <c r="F331" s="158" t="s">
        <v>256</v>
      </c>
      <c r="G331" s="165">
        <v>38874</v>
      </c>
      <c r="H331" s="51">
        <f t="shared" ca="1" si="10"/>
        <v>10</v>
      </c>
      <c r="I331" s="164" t="str">
        <f t="shared" si="11"/>
        <v>June</v>
      </c>
      <c r="J331" s="52" t="s">
        <v>257</v>
      </c>
      <c r="K331" s="53">
        <v>56808</v>
      </c>
      <c r="L331" s="163">
        <v>2</v>
      </c>
    </row>
    <row r="332" spans="1:12" x14ac:dyDescent="0.25">
      <c r="A332" s="158" t="s">
        <v>854</v>
      </c>
      <c r="B332" s="158" t="s">
        <v>465</v>
      </c>
      <c r="C332" s="168" t="s">
        <v>285</v>
      </c>
      <c r="D332" s="167">
        <v>2527237007</v>
      </c>
      <c r="E332" s="166">
        <v>167058119</v>
      </c>
      <c r="F332" s="158" t="s">
        <v>252</v>
      </c>
      <c r="G332" s="165">
        <v>38458</v>
      </c>
      <c r="H332" s="51">
        <f t="shared" ca="1" si="10"/>
        <v>11</v>
      </c>
      <c r="I332" s="164" t="str">
        <f t="shared" si="11"/>
        <v>April</v>
      </c>
      <c r="J332" s="52"/>
      <c r="K332" s="53">
        <v>10670</v>
      </c>
      <c r="L332" s="163">
        <v>1</v>
      </c>
    </row>
    <row r="333" spans="1:12" x14ac:dyDescent="0.25">
      <c r="A333" s="158" t="s">
        <v>616</v>
      </c>
      <c r="B333" s="158" t="s">
        <v>465</v>
      </c>
      <c r="C333" s="168" t="s">
        <v>245</v>
      </c>
      <c r="D333" s="167">
        <v>2525871924</v>
      </c>
      <c r="E333" s="166">
        <v>436778229</v>
      </c>
      <c r="F333" s="158" t="s">
        <v>247</v>
      </c>
      <c r="G333" s="165">
        <v>40550</v>
      </c>
      <c r="H333" s="51">
        <f t="shared" ca="1" si="10"/>
        <v>5</v>
      </c>
      <c r="I333" s="164" t="str">
        <f t="shared" si="11"/>
        <v>January</v>
      </c>
      <c r="J333" s="52"/>
      <c r="K333" s="53">
        <v>72048</v>
      </c>
      <c r="L333" s="163">
        <v>5</v>
      </c>
    </row>
    <row r="334" spans="1:12" x14ac:dyDescent="0.25">
      <c r="A334" s="158" t="s">
        <v>748</v>
      </c>
      <c r="B334" s="158" t="s">
        <v>465</v>
      </c>
      <c r="C334" s="168" t="s">
        <v>245</v>
      </c>
      <c r="D334" s="167">
        <v>2521777060</v>
      </c>
      <c r="E334" s="166">
        <v>405396173</v>
      </c>
      <c r="F334" s="158" t="s">
        <v>256</v>
      </c>
      <c r="G334" s="165">
        <v>39461</v>
      </c>
      <c r="H334" s="51">
        <f t="shared" ca="1" si="10"/>
        <v>8</v>
      </c>
      <c r="I334" s="164" t="str">
        <f t="shared" si="11"/>
        <v>January</v>
      </c>
      <c r="J334" s="52" t="s">
        <v>276</v>
      </c>
      <c r="K334" s="53">
        <v>82452</v>
      </c>
      <c r="L334" s="163">
        <v>4</v>
      </c>
    </row>
    <row r="335" spans="1:12" x14ac:dyDescent="0.25">
      <c r="A335" s="158" t="s">
        <v>505</v>
      </c>
      <c r="B335" s="158" t="s">
        <v>618</v>
      </c>
      <c r="C335" s="168" t="s">
        <v>266</v>
      </c>
      <c r="D335" s="167">
        <v>9191375297</v>
      </c>
      <c r="E335" s="166">
        <v>723930767</v>
      </c>
      <c r="F335" s="158" t="s">
        <v>256</v>
      </c>
      <c r="G335" s="165">
        <v>41041</v>
      </c>
      <c r="H335" s="51">
        <f t="shared" ca="1" si="10"/>
        <v>4</v>
      </c>
      <c r="I335" s="164" t="str">
        <f t="shared" si="11"/>
        <v>May</v>
      </c>
      <c r="J335" s="52" t="s">
        <v>283</v>
      </c>
      <c r="K335" s="53">
        <v>32700</v>
      </c>
      <c r="L335" s="163">
        <v>5</v>
      </c>
    </row>
    <row r="336" spans="1:12" x14ac:dyDescent="0.25">
      <c r="A336" s="158" t="s">
        <v>530</v>
      </c>
      <c r="B336" s="158" t="s">
        <v>618</v>
      </c>
      <c r="C336" s="168" t="s">
        <v>280</v>
      </c>
      <c r="D336" s="167">
        <v>9197077326</v>
      </c>
      <c r="E336" s="166">
        <v>742946482</v>
      </c>
      <c r="F336" s="158" t="s">
        <v>256</v>
      </c>
      <c r="G336" s="165">
        <v>34560</v>
      </c>
      <c r="H336" s="51">
        <f t="shared" ca="1" si="10"/>
        <v>22</v>
      </c>
      <c r="I336" s="164" t="str">
        <f t="shared" si="11"/>
        <v>August</v>
      </c>
      <c r="J336" s="52" t="s">
        <v>257</v>
      </c>
      <c r="K336" s="53">
        <v>46992</v>
      </c>
      <c r="L336" s="163">
        <v>3</v>
      </c>
    </row>
    <row r="337" spans="1:12" x14ac:dyDescent="0.25">
      <c r="A337" s="158" t="s">
        <v>889</v>
      </c>
      <c r="B337" s="158" t="s">
        <v>618</v>
      </c>
      <c r="C337" s="168" t="s">
        <v>245</v>
      </c>
      <c r="D337" s="167">
        <v>9197045091</v>
      </c>
      <c r="E337" s="166">
        <v>292006053</v>
      </c>
      <c r="F337" s="158" t="s">
        <v>247</v>
      </c>
      <c r="G337" s="165">
        <v>37493</v>
      </c>
      <c r="H337" s="51">
        <f t="shared" ca="1" si="10"/>
        <v>14</v>
      </c>
      <c r="I337" s="164" t="str">
        <f t="shared" si="11"/>
        <v>August</v>
      </c>
      <c r="J337" s="52"/>
      <c r="K337" s="53">
        <v>89400</v>
      </c>
      <c r="L337" s="163">
        <v>4</v>
      </c>
    </row>
    <row r="338" spans="1:12" x14ac:dyDescent="0.25">
      <c r="A338" s="169" t="s">
        <v>281</v>
      </c>
      <c r="B338" s="158" t="s">
        <v>618</v>
      </c>
      <c r="C338" s="168" t="s">
        <v>251</v>
      </c>
      <c r="D338" s="167">
        <v>2521535362</v>
      </c>
      <c r="E338" s="166">
        <v>370608224</v>
      </c>
      <c r="F338" s="158" t="s">
        <v>256</v>
      </c>
      <c r="G338" s="165">
        <v>38135</v>
      </c>
      <c r="H338" s="51">
        <f t="shared" ca="1" si="10"/>
        <v>12</v>
      </c>
      <c r="I338" s="164" t="str">
        <f t="shared" si="11"/>
        <v>May</v>
      </c>
      <c r="J338" s="52" t="s">
        <v>257</v>
      </c>
      <c r="K338" s="53">
        <v>70968</v>
      </c>
      <c r="L338" s="163">
        <v>5</v>
      </c>
    </row>
    <row r="339" spans="1:12" x14ac:dyDescent="0.25">
      <c r="A339" s="158" t="s">
        <v>920</v>
      </c>
      <c r="B339" s="158" t="s">
        <v>618</v>
      </c>
      <c r="C339" s="168" t="s">
        <v>285</v>
      </c>
      <c r="D339" s="167">
        <v>2528908079</v>
      </c>
      <c r="E339" s="166">
        <v>214234804</v>
      </c>
      <c r="F339" s="158" t="s">
        <v>256</v>
      </c>
      <c r="G339" s="165">
        <v>38664</v>
      </c>
      <c r="H339" s="51">
        <f t="shared" ca="1" si="10"/>
        <v>11</v>
      </c>
      <c r="I339" s="164" t="str">
        <f t="shared" si="11"/>
        <v>November</v>
      </c>
      <c r="J339" s="52" t="s">
        <v>283</v>
      </c>
      <c r="K339" s="53">
        <v>64644</v>
      </c>
      <c r="L339" s="163">
        <v>2</v>
      </c>
    </row>
    <row r="340" spans="1:12" x14ac:dyDescent="0.25">
      <c r="A340" s="158" t="s">
        <v>612</v>
      </c>
      <c r="B340" s="158" t="s">
        <v>618</v>
      </c>
      <c r="C340" s="168" t="s">
        <v>245</v>
      </c>
      <c r="D340" s="167">
        <v>9191264013</v>
      </c>
      <c r="E340" s="166">
        <v>620072502</v>
      </c>
      <c r="F340" s="158" t="s">
        <v>256</v>
      </c>
      <c r="G340" s="165">
        <v>39766</v>
      </c>
      <c r="H340" s="51">
        <f t="shared" ca="1" si="10"/>
        <v>8</v>
      </c>
      <c r="I340" s="164" t="str">
        <f t="shared" si="11"/>
        <v>November</v>
      </c>
      <c r="J340" s="52" t="s">
        <v>276</v>
      </c>
      <c r="K340" s="53">
        <v>85680</v>
      </c>
      <c r="L340" s="163">
        <v>4</v>
      </c>
    </row>
    <row r="341" spans="1:12" x14ac:dyDescent="0.25">
      <c r="A341" s="158" t="s">
        <v>368</v>
      </c>
      <c r="B341" s="158" t="s">
        <v>618</v>
      </c>
      <c r="C341" s="168" t="s">
        <v>266</v>
      </c>
      <c r="D341" s="167">
        <v>2523906310</v>
      </c>
      <c r="E341" s="166">
        <v>380343690</v>
      </c>
      <c r="F341" s="158" t="s">
        <v>247</v>
      </c>
      <c r="G341" s="165">
        <v>41020</v>
      </c>
      <c r="H341" s="51">
        <f t="shared" ca="1" si="10"/>
        <v>4</v>
      </c>
      <c r="I341" s="164" t="str">
        <f t="shared" si="11"/>
        <v>April</v>
      </c>
      <c r="J341" s="52"/>
      <c r="K341" s="53">
        <v>74268</v>
      </c>
      <c r="L341" s="163">
        <v>2</v>
      </c>
    </row>
    <row r="342" spans="1:12" x14ac:dyDescent="0.25">
      <c r="A342" s="158" t="s">
        <v>466</v>
      </c>
      <c r="B342" s="158" t="s">
        <v>626</v>
      </c>
      <c r="C342" s="168" t="s">
        <v>245</v>
      </c>
      <c r="D342" s="167">
        <v>2524272773</v>
      </c>
      <c r="E342" s="166">
        <v>261920277</v>
      </c>
      <c r="F342" s="158" t="s">
        <v>256</v>
      </c>
      <c r="G342" s="165">
        <v>36584</v>
      </c>
      <c r="H342" s="51">
        <f t="shared" ca="1" si="10"/>
        <v>16</v>
      </c>
      <c r="I342" s="164" t="str">
        <f t="shared" si="11"/>
        <v>February</v>
      </c>
      <c r="J342" s="52" t="s">
        <v>276</v>
      </c>
      <c r="K342" s="53">
        <v>104196</v>
      </c>
      <c r="L342" s="163">
        <v>3</v>
      </c>
    </row>
    <row r="343" spans="1:12" x14ac:dyDescent="0.25">
      <c r="A343" s="158" t="s">
        <v>392</v>
      </c>
      <c r="B343" s="158" t="s">
        <v>626</v>
      </c>
      <c r="C343" s="168" t="s">
        <v>245</v>
      </c>
      <c r="D343" s="167">
        <v>2523383207</v>
      </c>
      <c r="E343" s="166">
        <v>895408697</v>
      </c>
      <c r="F343" s="158" t="s">
        <v>256</v>
      </c>
      <c r="G343" s="165">
        <v>39885</v>
      </c>
      <c r="H343" s="51">
        <f t="shared" ca="1" si="10"/>
        <v>7</v>
      </c>
      <c r="I343" s="164" t="str">
        <f t="shared" si="11"/>
        <v>March</v>
      </c>
      <c r="J343" s="52" t="s">
        <v>283</v>
      </c>
      <c r="K343" s="53">
        <v>57132</v>
      </c>
      <c r="L343" s="163">
        <v>4</v>
      </c>
    </row>
    <row r="344" spans="1:12" x14ac:dyDescent="0.25">
      <c r="A344" s="158" t="s">
        <v>468</v>
      </c>
      <c r="B344" s="158" t="s">
        <v>626</v>
      </c>
      <c r="C344" s="168" t="s">
        <v>251</v>
      </c>
      <c r="D344" s="167">
        <v>9191682521</v>
      </c>
      <c r="E344" s="166">
        <v>788451186</v>
      </c>
      <c r="F344" s="158" t="s">
        <v>247</v>
      </c>
      <c r="G344" s="165">
        <v>39224</v>
      </c>
      <c r="H344" s="51">
        <f t="shared" ca="1" si="10"/>
        <v>9</v>
      </c>
      <c r="I344" s="164" t="str">
        <f t="shared" si="11"/>
        <v>May</v>
      </c>
      <c r="J344" s="52"/>
      <c r="K344" s="53">
        <v>69024</v>
      </c>
      <c r="L344" s="163">
        <v>3</v>
      </c>
    </row>
    <row r="345" spans="1:12" x14ac:dyDescent="0.25">
      <c r="A345" s="158" t="s">
        <v>470</v>
      </c>
      <c r="B345" s="158" t="s">
        <v>626</v>
      </c>
      <c r="C345" s="168" t="s">
        <v>271</v>
      </c>
      <c r="D345" s="167">
        <v>2526971022</v>
      </c>
      <c r="E345" s="166">
        <v>626767704</v>
      </c>
      <c r="F345" s="158" t="s">
        <v>247</v>
      </c>
      <c r="G345" s="165">
        <v>36504</v>
      </c>
      <c r="H345" s="51">
        <f t="shared" ca="1" si="10"/>
        <v>16</v>
      </c>
      <c r="I345" s="164" t="str">
        <f t="shared" si="11"/>
        <v>December</v>
      </c>
      <c r="J345" s="52"/>
      <c r="K345" s="53">
        <v>93516</v>
      </c>
      <c r="L345" s="163">
        <v>5</v>
      </c>
    </row>
    <row r="346" spans="1:12" x14ac:dyDescent="0.25">
      <c r="A346" s="158" t="s">
        <v>934</v>
      </c>
      <c r="B346" s="158" t="s">
        <v>626</v>
      </c>
      <c r="C346" s="168" t="s">
        <v>271</v>
      </c>
      <c r="D346" s="167">
        <v>2526565171</v>
      </c>
      <c r="E346" s="166">
        <v>555025137</v>
      </c>
      <c r="F346" s="158" t="s">
        <v>261</v>
      </c>
      <c r="G346" s="165">
        <v>34047</v>
      </c>
      <c r="H346" s="51">
        <f t="shared" ca="1" si="10"/>
        <v>23</v>
      </c>
      <c r="I346" s="164" t="str">
        <f t="shared" si="11"/>
        <v>March</v>
      </c>
      <c r="J346" s="52" t="s">
        <v>267</v>
      </c>
      <c r="K346" s="53">
        <v>15708</v>
      </c>
      <c r="L346" s="163">
        <v>4</v>
      </c>
    </row>
    <row r="347" spans="1:12" x14ac:dyDescent="0.25">
      <c r="A347" s="158" t="s">
        <v>629</v>
      </c>
      <c r="B347" s="158" t="s">
        <v>626</v>
      </c>
      <c r="C347" s="168" t="s">
        <v>285</v>
      </c>
      <c r="D347" s="167">
        <v>2523986051</v>
      </c>
      <c r="E347" s="166">
        <v>424800509</v>
      </c>
      <c r="F347" s="158" t="s">
        <v>256</v>
      </c>
      <c r="G347" s="165">
        <v>37191</v>
      </c>
      <c r="H347" s="51">
        <f t="shared" ca="1" si="10"/>
        <v>15</v>
      </c>
      <c r="I347" s="164" t="str">
        <f t="shared" si="11"/>
        <v>October</v>
      </c>
      <c r="J347" s="52" t="s">
        <v>257</v>
      </c>
      <c r="K347" s="53">
        <v>53064</v>
      </c>
      <c r="L347" s="163">
        <v>3</v>
      </c>
    </row>
    <row r="348" spans="1:12" x14ac:dyDescent="0.25">
      <c r="A348" s="158" t="s">
        <v>485</v>
      </c>
      <c r="B348" s="158" t="s">
        <v>626</v>
      </c>
      <c r="C348" s="168" t="s">
        <v>245</v>
      </c>
      <c r="D348" s="167">
        <v>9198211050</v>
      </c>
      <c r="E348" s="166">
        <v>372693786</v>
      </c>
      <c r="F348" s="158" t="s">
        <v>261</v>
      </c>
      <c r="G348" s="165">
        <v>37866</v>
      </c>
      <c r="H348" s="51">
        <f t="shared" ca="1" si="10"/>
        <v>13</v>
      </c>
      <c r="I348" s="164" t="str">
        <f t="shared" si="11"/>
        <v>September</v>
      </c>
      <c r="J348" s="52" t="s">
        <v>262</v>
      </c>
      <c r="K348" s="53">
        <v>37332</v>
      </c>
      <c r="L348" s="163">
        <v>1</v>
      </c>
    </row>
    <row r="349" spans="1:12" x14ac:dyDescent="0.25">
      <c r="A349" s="158" t="s">
        <v>683</v>
      </c>
      <c r="B349" s="158" t="s">
        <v>626</v>
      </c>
      <c r="C349" s="168" t="s">
        <v>285</v>
      </c>
      <c r="D349" s="167">
        <v>2521201242</v>
      </c>
      <c r="E349" s="166">
        <v>294161481</v>
      </c>
      <c r="F349" s="158" t="s">
        <v>261</v>
      </c>
      <c r="G349" s="165">
        <v>36822</v>
      </c>
      <c r="H349" s="51">
        <f t="shared" ca="1" si="10"/>
        <v>16</v>
      </c>
      <c r="I349" s="164" t="str">
        <f t="shared" si="11"/>
        <v>October</v>
      </c>
      <c r="J349" s="52" t="s">
        <v>257</v>
      </c>
      <c r="K349" s="53">
        <v>57462</v>
      </c>
      <c r="L349" s="163">
        <v>1</v>
      </c>
    </row>
    <row r="350" spans="1:12" x14ac:dyDescent="0.25">
      <c r="A350" s="158" t="s">
        <v>783</v>
      </c>
      <c r="B350" s="158" t="s">
        <v>626</v>
      </c>
      <c r="C350" s="168" t="s">
        <v>245</v>
      </c>
      <c r="D350" s="167">
        <v>2527687161</v>
      </c>
      <c r="E350" s="166">
        <v>948189231</v>
      </c>
      <c r="F350" s="158" t="s">
        <v>256</v>
      </c>
      <c r="G350" s="165">
        <v>34430</v>
      </c>
      <c r="H350" s="51">
        <f t="shared" ca="1" si="10"/>
        <v>22</v>
      </c>
      <c r="I350" s="164" t="str">
        <f t="shared" si="11"/>
        <v>April</v>
      </c>
      <c r="J350" s="52" t="s">
        <v>257</v>
      </c>
      <c r="K350" s="53">
        <v>44424</v>
      </c>
      <c r="L350" s="163">
        <v>2</v>
      </c>
    </row>
    <row r="351" spans="1:12" x14ac:dyDescent="0.25">
      <c r="A351" s="158" t="s">
        <v>712</v>
      </c>
      <c r="B351" s="158" t="s">
        <v>626</v>
      </c>
      <c r="C351" s="168" t="s">
        <v>251</v>
      </c>
      <c r="D351" s="167">
        <v>9194221208</v>
      </c>
      <c r="E351" s="166">
        <v>159415552</v>
      </c>
      <c r="F351" s="158" t="s">
        <v>256</v>
      </c>
      <c r="G351" s="165">
        <v>34493</v>
      </c>
      <c r="H351" s="51">
        <f t="shared" ca="1" si="10"/>
        <v>22</v>
      </c>
      <c r="I351" s="164" t="str">
        <f t="shared" si="11"/>
        <v>June</v>
      </c>
      <c r="J351" s="52" t="s">
        <v>262</v>
      </c>
      <c r="K351" s="53">
        <v>88716</v>
      </c>
      <c r="L351" s="163">
        <v>1</v>
      </c>
    </row>
    <row r="352" spans="1:12" x14ac:dyDescent="0.25">
      <c r="A352" s="158" t="s">
        <v>494</v>
      </c>
      <c r="B352" s="158" t="s">
        <v>626</v>
      </c>
      <c r="C352" s="168" t="s">
        <v>271</v>
      </c>
      <c r="D352" s="167">
        <v>9196798743</v>
      </c>
      <c r="E352" s="166">
        <v>400260342</v>
      </c>
      <c r="F352" s="158" t="s">
        <v>247</v>
      </c>
      <c r="G352" s="165">
        <v>40011</v>
      </c>
      <c r="H352" s="51">
        <f t="shared" ca="1" si="10"/>
        <v>7</v>
      </c>
      <c r="I352" s="164" t="str">
        <f t="shared" si="11"/>
        <v>July</v>
      </c>
      <c r="J352" s="52"/>
      <c r="K352" s="53">
        <v>89364</v>
      </c>
      <c r="L352" s="163">
        <v>3</v>
      </c>
    </row>
    <row r="353" spans="1:12" x14ac:dyDescent="0.25">
      <c r="A353" s="158" t="s">
        <v>503</v>
      </c>
      <c r="B353" s="158" t="s">
        <v>626</v>
      </c>
      <c r="C353" s="168" t="s">
        <v>245</v>
      </c>
      <c r="D353" s="167">
        <v>9191517218</v>
      </c>
      <c r="E353" s="166">
        <v>980960186</v>
      </c>
      <c r="F353" s="158" t="s">
        <v>261</v>
      </c>
      <c r="G353" s="165">
        <v>39826</v>
      </c>
      <c r="H353" s="51">
        <f t="shared" ca="1" si="10"/>
        <v>7</v>
      </c>
      <c r="I353" s="164" t="str">
        <f t="shared" si="11"/>
        <v>January</v>
      </c>
      <c r="J353" s="52" t="s">
        <v>283</v>
      </c>
      <c r="K353" s="53">
        <v>57246</v>
      </c>
      <c r="L353" s="163">
        <v>5</v>
      </c>
    </row>
    <row r="354" spans="1:12" x14ac:dyDescent="0.25">
      <c r="A354" s="158" t="s">
        <v>322</v>
      </c>
      <c r="B354" s="158" t="s">
        <v>626</v>
      </c>
      <c r="C354" s="168" t="s">
        <v>266</v>
      </c>
      <c r="D354" s="167">
        <v>9193613417</v>
      </c>
      <c r="E354" s="166">
        <v>506165137</v>
      </c>
      <c r="F354" s="158" t="s">
        <v>256</v>
      </c>
      <c r="G354" s="165">
        <v>40811</v>
      </c>
      <c r="H354" s="51">
        <f t="shared" ca="1" si="10"/>
        <v>5</v>
      </c>
      <c r="I354" s="164" t="str">
        <f t="shared" si="11"/>
        <v>September</v>
      </c>
      <c r="J354" s="52" t="s">
        <v>283</v>
      </c>
      <c r="K354" s="53">
        <v>52980</v>
      </c>
      <c r="L354" s="163">
        <v>4</v>
      </c>
    </row>
    <row r="355" spans="1:12" x14ac:dyDescent="0.25">
      <c r="A355" s="158" t="s">
        <v>382</v>
      </c>
      <c r="B355" s="158" t="s">
        <v>626</v>
      </c>
      <c r="C355" s="168" t="s">
        <v>271</v>
      </c>
      <c r="D355" s="167">
        <v>9195299873</v>
      </c>
      <c r="E355" s="166">
        <v>247406371</v>
      </c>
      <c r="F355" s="158" t="s">
        <v>261</v>
      </c>
      <c r="G355" s="165">
        <v>41079</v>
      </c>
      <c r="H355" s="51">
        <f t="shared" ca="1" si="10"/>
        <v>4</v>
      </c>
      <c r="I355" s="164" t="str">
        <f t="shared" si="11"/>
        <v>June</v>
      </c>
      <c r="J355" s="52" t="s">
        <v>283</v>
      </c>
      <c r="K355" s="53">
        <v>24048</v>
      </c>
      <c r="L355" s="163">
        <v>3</v>
      </c>
    </row>
    <row r="356" spans="1:12" x14ac:dyDescent="0.25">
      <c r="A356" s="158" t="s">
        <v>794</v>
      </c>
      <c r="B356" s="158" t="s">
        <v>626</v>
      </c>
      <c r="C356" s="168" t="s">
        <v>251</v>
      </c>
      <c r="D356" s="167">
        <v>2521575684</v>
      </c>
      <c r="E356" s="166">
        <v>154984918</v>
      </c>
      <c r="F356" s="158" t="s">
        <v>256</v>
      </c>
      <c r="G356" s="165">
        <v>34135</v>
      </c>
      <c r="H356" s="51">
        <f t="shared" ca="1" si="10"/>
        <v>23</v>
      </c>
      <c r="I356" s="164" t="str">
        <f t="shared" si="11"/>
        <v>June</v>
      </c>
      <c r="J356" s="52" t="s">
        <v>257</v>
      </c>
      <c r="K356" s="53">
        <v>27480</v>
      </c>
      <c r="L356" s="163">
        <v>1</v>
      </c>
    </row>
    <row r="357" spans="1:12" x14ac:dyDescent="0.25">
      <c r="A357" s="158" t="s">
        <v>518</v>
      </c>
      <c r="B357" s="158" t="s">
        <v>626</v>
      </c>
      <c r="C357" s="168" t="s">
        <v>280</v>
      </c>
      <c r="D357" s="170">
        <v>9196844371</v>
      </c>
      <c r="E357" s="166">
        <v>279097202</v>
      </c>
      <c r="F357" s="158" t="s">
        <v>256</v>
      </c>
      <c r="G357" s="165">
        <v>33975</v>
      </c>
      <c r="H357" s="51">
        <f t="shared" ca="1" si="10"/>
        <v>23</v>
      </c>
      <c r="I357" s="164" t="str">
        <f t="shared" si="11"/>
        <v>January</v>
      </c>
      <c r="J357" s="52" t="s">
        <v>257</v>
      </c>
      <c r="K357" s="53">
        <v>75288</v>
      </c>
      <c r="L357" s="163">
        <v>4</v>
      </c>
    </row>
    <row r="358" spans="1:12" x14ac:dyDescent="0.25">
      <c r="A358" s="158" t="s">
        <v>798</v>
      </c>
      <c r="B358" s="158" t="s">
        <v>626</v>
      </c>
      <c r="C358" s="168" t="s">
        <v>271</v>
      </c>
      <c r="D358" s="167">
        <v>2521401774</v>
      </c>
      <c r="E358" s="166">
        <v>999156829</v>
      </c>
      <c r="F358" s="158" t="s">
        <v>256</v>
      </c>
      <c r="G358" s="165">
        <v>41175</v>
      </c>
      <c r="H358" s="51">
        <f t="shared" ca="1" si="10"/>
        <v>4</v>
      </c>
      <c r="I358" s="164" t="str">
        <f t="shared" si="11"/>
        <v>September</v>
      </c>
      <c r="J358" s="52" t="s">
        <v>257</v>
      </c>
      <c r="K358" s="53">
        <v>40764</v>
      </c>
      <c r="L358" s="163">
        <v>4</v>
      </c>
    </row>
    <row r="359" spans="1:12" x14ac:dyDescent="0.25">
      <c r="A359" s="158" t="s">
        <v>801</v>
      </c>
      <c r="B359" s="158" t="s">
        <v>626</v>
      </c>
      <c r="C359" s="168" t="s">
        <v>251</v>
      </c>
      <c r="D359" s="167">
        <v>2526040465</v>
      </c>
      <c r="E359" s="166">
        <v>662974752</v>
      </c>
      <c r="F359" s="158" t="s">
        <v>256</v>
      </c>
      <c r="G359" s="165">
        <v>37120</v>
      </c>
      <c r="H359" s="51">
        <f t="shared" ca="1" si="10"/>
        <v>15</v>
      </c>
      <c r="I359" s="164" t="str">
        <f t="shared" si="11"/>
        <v>August</v>
      </c>
      <c r="J359" s="52" t="s">
        <v>283</v>
      </c>
      <c r="K359" s="53">
        <v>61692</v>
      </c>
      <c r="L359" s="163">
        <v>4</v>
      </c>
    </row>
    <row r="360" spans="1:12" x14ac:dyDescent="0.25">
      <c r="A360" s="158" t="s">
        <v>383</v>
      </c>
      <c r="B360" s="158" t="s">
        <v>626</v>
      </c>
      <c r="C360" s="168" t="s">
        <v>280</v>
      </c>
      <c r="D360" s="167">
        <v>2527660273</v>
      </c>
      <c r="E360" s="166">
        <v>357081517</v>
      </c>
      <c r="F360" s="158" t="s">
        <v>261</v>
      </c>
      <c r="G360" s="165">
        <v>37099</v>
      </c>
      <c r="H360" s="51">
        <f t="shared" ca="1" si="10"/>
        <v>15</v>
      </c>
      <c r="I360" s="164" t="str">
        <f t="shared" si="11"/>
        <v>July</v>
      </c>
      <c r="J360" s="52" t="s">
        <v>283</v>
      </c>
      <c r="K360" s="53">
        <v>32148</v>
      </c>
      <c r="L360" s="163">
        <v>2</v>
      </c>
    </row>
    <row r="361" spans="1:12" x14ac:dyDescent="0.25">
      <c r="A361" s="158" t="s">
        <v>327</v>
      </c>
      <c r="B361" s="158" t="s">
        <v>626</v>
      </c>
      <c r="C361" s="168" t="s">
        <v>266</v>
      </c>
      <c r="D361" s="167">
        <v>2525478716</v>
      </c>
      <c r="E361" s="166">
        <v>355985853</v>
      </c>
      <c r="F361" s="158" t="s">
        <v>256</v>
      </c>
      <c r="G361" s="165">
        <v>37025</v>
      </c>
      <c r="H361" s="51">
        <f t="shared" ca="1" si="10"/>
        <v>15</v>
      </c>
      <c r="I361" s="164" t="str">
        <f t="shared" si="11"/>
        <v>May</v>
      </c>
      <c r="J361" s="52" t="s">
        <v>257</v>
      </c>
      <c r="K361" s="53">
        <v>55236</v>
      </c>
      <c r="L361" s="163">
        <v>2</v>
      </c>
    </row>
    <row r="362" spans="1:12" x14ac:dyDescent="0.25">
      <c r="A362" s="158" t="s">
        <v>524</v>
      </c>
      <c r="B362" s="158" t="s">
        <v>626</v>
      </c>
      <c r="C362" s="168" t="s">
        <v>271</v>
      </c>
      <c r="D362" s="167">
        <v>9196201509</v>
      </c>
      <c r="E362" s="166">
        <v>597641409</v>
      </c>
      <c r="F362" s="158" t="s">
        <v>256</v>
      </c>
      <c r="G362" s="165">
        <v>36585</v>
      </c>
      <c r="H362" s="51">
        <f t="shared" ca="1" si="10"/>
        <v>16</v>
      </c>
      <c r="I362" s="164" t="str">
        <f t="shared" si="11"/>
        <v>February</v>
      </c>
      <c r="J362" s="52" t="s">
        <v>283</v>
      </c>
      <c r="K362" s="53">
        <v>98532</v>
      </c>
      <c r="L362" s="163">
        <v>3</v>
      </c>
    </row>
    <row r="363" spans="1:12" x14ac:dyDescent="0.25">
      <c r="A363" s="158" t="s">
        <v>807</v>
      </c>
      <c r="B363" s="158" t="s">
        <v>626</v>
      </c>
      <c r="C363" s="168" t="s">
        <v>285</v>
      </c>
      <c r="D363" s="167">
        <v>2525368383</v>
      </c>
      <c r="E363" s="166">
        <v>479081328</v>
      </c>
      <c r="F363" s="158" t="s">
        <v>247</v>
      </c>
      <c r="G363" s="165">
        <v>36410</v>
      </c>
      <c r="H363" s="51">
        <f t="shared" ca="1" si="10"/>
        <v>17</v>
      </c>
      <c r="I363" s="164" t="str">
        <f t="shared" si="11"/>
        <v>September</v>
      </c>
      <c r="J363" s="52"/>
      <c r="K363" s="53">
        <v>76620</v>
      </c>
      <c r="L363" s="163">
        <v>2</v>
      </c>
    </row>
    <row r="364" spans="1:12" x14ac:dyDescent="0.25">
      <c r="A364" s="158" t="s">
        <v>723</v>
      </c>
      <c r="B364" s="158" t="s">
        <v>626</v>
      </c>
      <c r="C364" s="168" t="s">
        <v>245</v>
      </c>
      <c r="D364" s="167">
        <v>9191487375</v>
      </c>
      <c r="E364" s="166">
        <v>422929693</v>
      </c>
      <c r="F364" s="158" t="s">
        <v>256</v>
      </c>
      <c r="G364" s="165">
        <v>37390</v>
      </c>
      <c r="H364" s="51">
        <f t="shared" ca="1" si="10"/>
        <v>14</v>
      </c>
      <c r="I364" s="164" t="str">
        <f t="shared" si="11"/>
        <v>May</v>
      </c>
      <c r="J364" s="52" t="s">
        <v>283</v>
      </c>
      <c r="K364" s="53">
        <v>62988</v>
      </c>
      <c r="L364" s="163">
        <v>4</v>
      </c>
    </row>
    <row r="365" spans="1:12" x14ac:dyDescent="0.25">
      <c r="A365" s="158" t="s">
        <v>891</v>
      </c>
      <c r="B365" s="158" t="s">
        <v>626</v>
      </c>
      <c r="C365" s="168" t="s">
        <v>245</v>
      </c>
      <c r="D365" s="167">
        <v>9194402150</v>
      </c>
      <c r="E365" s="166">
        <v>917714039</v>
      </c>
      <c r="F365" s="158" t="s">
        <v>256</v>
      </c>
      <c r="G365" s="165">
        <v>35948</v>
      </c>
      <c r="H365" s="51">
        <f t="shared" ca="1" si="10"/>
        <v>18</v>
      </c>
      <c r="I365" s="164" t="str">
        <f t="shared" si="11"/>
        <v>June</v>
      </c>
      <c r="J365" s="52" t="s">
        <v>267</v>
      </c>
      <c r="K365" s="53">
        <v>84576</v>
      </c>
      <c r="L365" s="163">
        <v>4</v>
      </c>
    </row>
    <row r="366" spans="1:12" x14ac:dyDescent="0.25">
      <c r="A366" s="158" t="s">
        <v>333</v>
      </c>
      <c r="B366" s="158" t="s">
        <v>626</v>
      </c>
      <c r="C366" s="168" t="s">
        <v>271</v>
      </c>
      <c r="D366" s="167">
        <v>9194161772</v>
      </c>
      <c r="E366" s="166">
        <v>168791562</v>
      </c>
      <c r="F366" s="158" t="s">
        <v>256</v>
      </c>
      <c r="G366" s="165">
        <v>41089</v>
      </c>
      <c r="H366" s="51">
        <f t="shared" ca="1" si="10"/>
        <v>4</v>
      </c>
      <c r="I366" s="164" t="str">
        <f t="shared" si="11"/>
        <v>June</v>
      </c>
      <c r="J366" s="52" t="s">
        <v>267</v>
      </c>
      <c r="K366" s="53">
        <v>90936</v>
      </c>
      <c r="L366" s="163">
        <v>2</v>
      </c>
    </row>
    <row r="367" spans="1:12" x14ac:dyDescent="0.25">
      <c r="A367" s="158" t="s">
        <v>649</v>
      </c>
      <c r="B367" s="158" t="s">
        <v>626</v>
      </c>
      <c r="C367" s="168" t="s">
        <v>271</v>
      </c>
      <c r="D367" s="167">
        <v>2527469217</v>
      </c>
      <c r="E367" s="166">
        <v>796685092</v>
      </c>
      <c r="F367" s="158" t="s">
        <v>256</v>
      </c>
      <c r="G367" s="165">
        <v>37184</v>
      </c>
      <c r="H367" s="51">
        <f t="shared" ca="1" si="10"/>
        <v>15</v>
      </c>
      <c r="I367" s="164" t="str">
        <f t="shared" si="11"/>
        <v>October</v>
      </c>
      <c r="J367" s="52" t="s">
        <v>283</v>
      </c>
      <c r="K367" s="53">
        <v>52152</v>
      </c>
      <c r="L367" s="163">
        <v>5</v>
      </c>
    </row>
    <row r="368" spans="1:12" x14ac:dyDescent="0.25">
      <c r="A368" s="158" t="s">
        <v>431</v>
      </c>
      <c r="B368" s="158" t="s">
        <v>626</v>
      </c>
      <c r="C368" s="168" t="s">
        <v>285</v>
      </c>
      <c r="D368" s="167">
        <v>9195085809</v>
      </c>
      <c r="E368" s="166">
        <v>443476169</v>
      </c>
      <c r="F368" s="158" t="s">
        <v>256</v>
      </c>
      <c r="G368" s="165">
        <v>34795</v>
      </c>
      <c r="H368" s="51">
        <f t="shared" ca="1" si="10"/>
        <v>21</v>
      </c>
      <c r="I368" s="164" t="str">
        <f t="shared" si="11"/>
        <v>April</v>
      </c>
      <c r="J368" s="52" t="s">
        <v>267</v>
      </c>
      <c r="K368" s="53">
        <v>103848</v>
      </c>
      <c r="L368" s="163">
        <v>4</v>
      </c>
    </row>
    <row r="369" spans="1:12" x14ac:dyDescent="0.25">
      <c r="A369" s="158" t="s">
        <v>686</v>
      </c>
      <c r="B369" s="158" t="s">
        <v>626</v>
      </c>
      <c r="C369" s="168" t="s">
        <v>285</v>
      </c>
      <c r="D369" s="167">
        <v>9197803578</v>
      </c>
      <c r="E369" s="166">
        <v>254201611</v>
      </c>
      <c r="F369" s="158" t="s">
        <v>256</v>
      </c>
      <c r="G369" s="165">
        <v>34762</v>
      </c>
      <c r="H369" s="51">
        <f t="shared" ca="1" si="10"/>
        <v>21</v>
      </c>
      <c r="I369" s="164" t="str">
        <f t="shared" si="11"/>
        <v>March</v>
      </c>
      <c r="J369" s="52" t="s">
        <v>267</v>
      </c>
      <c r="K369" s="53">
        <v>54216</v>
      </c>
      <c r="L369" s="163">
        <v>5</v>
      </c>
    </row>
    <row r="370" spans="1:12" x14ac:dyDescent="0.25">
      <c r="A370" s="158" t="s">
        <v>336</v>
      </c>
      <c r="B370" s="158" t="s">
        <v>626</v>
      </c>
      <c r="C370" s="168" t="s">
        <v>271</v>
      </c>
      <c r="D370" s="167">
        <v>2525268508</v>
      </c>
      <c r="E370" s="166">
        <v>393290045</v>
      </c>
      <c r="F370" s="158" t="s">
        <v>261</v>
      </c>
      <c r="G370" s="165">
        <v>37894</v>
      </c>
      <c r="H370" s="51">
        <f t="shared" ca="1" si="10"/>
        <v>13</v>
      </c>
      <c r="I370" s="164" t="str">
        <f t="shared" si="11"/>
        <v>September</v>
      </c>
      <c r="J370" s="52" t="s">
        <v>262</v>
      </c>
      <c r="K370" s="53">
        <v>56754</v>
      </c>
      <c r="L370" s="163">
        <v>4</v>
      </c>
    </row>
    <row r="371" spans="1:12" x14ac:dyDescent="0.25">
      <c r="A371" s="158" t="s">
        <v>656</v>
      </c>
      <c r="B371" s="158" t="s">
        <v>626</v>
      </c>
      <c r="C371" s="168" t="s">
        <v>285</v>
      </c>
      <c r="D371" s="167">
        <v>9193262077</v>
      </c>
      <c r="E371" s="166">
        <v>157257652</v>
      </c>
      <c r="F371" s="158" t="s">
        <v>247</v>
      </c>
      <c r="G371" s="165">
        <v>37431</v>
      </c>
      <c r="H371" s="51">
        <f t="shared" ca="1" si="10"/>
        <v>14</v>
      </c>
      <c r="I371" s="164" t="str">
        <f t="shared" si="11"/>
        <v>June</v>
      </c>
      <c r="J371" s="52"/>
      <c r="K371" s="53">
        <v>60240</v>
      </c>
      <c r="L371" s="163">
        <v>4</v>
      </c>
    </row>
    <row r="372" spans="1:12" x14ac:dyDescent="0.25">
      <c r="A372" s="158" t="s">
        <v>727</v>
      </c>
      <c r="B372" s="158" t="s">
        <v>626</v>
      </c>
      <c r="C372" s="168" t="s">
        <v>271</v>
      </c>
      <c r="D372" s="167">
        <v>2521588597</v>
      </c>
      <c r="E372" s="166">
        <v>649234799</v>
      </c>
      <c r="F372" s="158" t="s">
        <v>256</v>
      </c>
      <c r="G372" s="165">
        <v>40937</v>
      </c>
      <c r="H372" s="51">
        <f t="shared" ca="1" si="10"/>
        <v>4</v>
      </c>
      <c r="I372" s="164" t="str">
        <f t="shared" si="11"/>
        <v>January</v>
      </c>
      <c r="J372" s="52" t="s">
        <v>283</v>
      </c>
      <c r="K372" s="53">
        <v>54312</v>
      </c>
      <c r="L372" s="163">
        <v>4</v>
      </c>
    </row>
    <row r="373" spans="1:12" x14ac:dyDescent="0.25">
      <c r="A373" s="158" t="s">
        <v>823</v>
      </c>
      <c r="B373" s="158" t="s">
        <v>626</v>
      </c>
      <c r="C373" s="168" t="s">
        <v>251</v>
      </c>
      <c r="D373" s="167">
        <v>9194900864</v>
      </c>
      <c r="E373" s="166">
        <v>634954970</v>
      </c>
      <c r="F373" s="158" t="s">
        <v>256</v>
      </c>
      <c r="G373" s="165">
        <v>36010</v>
      </c>
      <c r="H373" s="51">
        <f t="shared" ca="1" si="10"/>
        <v>18</v>
      </c>
      <c r="I373" s="164" t="str">
        <f t="shared" si="11"/>
        <v>August</v>
      </c>
      <c r="J373" s="52" t="s">
        <v>257</v>
      </c>
      <c r="K373" s="53">
        <v>69072</v>
      </c>
      <c r="L373" s="163">
        <v>4</v>
      </c>
    </row>
    <row r="374" spans="1:12" x14ac:dyDescent="0.25">
      <c r="A374" s="158" t="s">
        <v>338</v>
      </c>
      <c r="B374" s="158" t="s">
        <v>626</v>
      </c>
      <c r="C374" s="168" t="s">
        <v>285</v>
      </c>
      <c r="D374" s="167">
        <v>9194713628</v>
      </c>
      <c r="E374" s="166">
        <v>751878224</v>
      </c>
      <c r="F374" s="158" t="s">
        <v>256</v>
      </c>
      <c r="G374" s="165">
        <v>34334</v>
      </c>
      <c r="H374" s="51">
        <f t="shared" ca="1" si="10"/>
        <v>22</v>
      </c>
      <c r="I374" s="164" t="str">
        <f t="shared" si="11"/>
        <v>December</v>
      </c>
      <c r="J374" s="52" t="s">
        <v>262</v>
      </c>
      <c r="K374" s="53">
        <v>104544</v>
      </c>
      <c r="L374" s="163">
        <v>3</v>
      </c>
    </row>
    <row r="375" spans="1:12" x14ac:dyDescent="0.25">
      <c r="A375" s="158" t="s">
        <v>987</v>
      </c>
      <c r="B375" s="158" t="s">
        <v>626</v>
      </c>
      <c r="C375" s="168" t="s">
        <v>245</v>
      </c>
      <c r="D375" s="167">
        <v>9195252544</v>
      </c>
      <c r="E375" s="166">
        <v>259330447</v>
      </c>
      <c r="F375" s="158" t="s">
        <v>247</v>
      </c>
      <c r="G375" s="165">
        <v>36920</v>
      </c>
      <c r="H375" s="51">
        <f t="shared" ca="1" si="10"/>
        <v>15</v>
      </c>
      <c r="I375" s="164" t="str">
        <f t="shared" si="11"/>
        <v>January</v>
      </c>
      <c r="J375" s="52"/>
      <c r="K375" s="53">
        <v>57144</v>
      </c>
      <c r="L375" s="163">
        <v>5</v>
      </c>
    </row>
    <row r="376" spans="1:12" x14ac:dyDescent="0.25">
      <c r="A376" s="158" t="s">
        <v>658</v>
      </c>
      <c r="B376" s="158" t="s">
        <v>626</v>
      </c>
      <c r="C376" s="168" t="s">
        <v>285</v>
      </c>
      <c r="D376" s="167">
        <v>2527451745</v>
      </c>
      <c r="E376" s="166">
        <v>385074661</v>
      </c>
      <c r="F376" s="158" t="s">
        <v>256</v>
      </c>
      <c r="G376" s="165">
        <v>35603</v>
      </c>
      <c r="H376" s="51">
        <f t="shared" ca="1" si="10"/>
        <v>19</v>
      </c>
      <c r="I376" s="164" t="str">
        <f t="shared" si="11"/>
        <v>June</v>
      </c>
      <c r="J376" s="52" t="s">
        <v>276</v>
      </c>
      <c r="K376" s="53">
        <v>80304</v>
      </c>
      <c r="L376" s="163">
        <v>2</v>
      </c>
    </row>
    <row r="377" spans="1:12" x14ac:dyDescent="0.25">
      <c r="A377" s="158" t="s">
        <v>555</v>
      </c>
      <c r="B377" s="158" t="s">
        <v>626</v>
      </c>
      <c r="C377" s="168" t="s">
        <v>280</v>
      </c>
      <c r="D377" s="167">
        <v>9196530760</v>
      </c>
      <c r="E377" s="166">
        <v>168147877</v>
      </c>
      <c r="F377" s="158" t="s">
        <v>261</v>
      </c>
      <c r="G377" s="165">
        <v>37869</v>
      </c>
      <c r="H377" s="51">
        <f t="shared" ca="1" si="10"/>
        <v>13</v>
      </c>
      <c r="I377" s="164" t="str">
        <f t="shared" si="11"/>
        <v>September</v>
      </c>
      <c r="J377" s="52" t="s">
        <v>276</v>
      </c>
      <c r="K377" s="53">
        <v>19092</v>
      </c>
      <c r="L377" s="163">
        <v>3</v>
      </c>
    </row>
    <row r="378" spans="1:12" x14ac:dyDescent="0.25">
      <c r="A378" s="158" t="s">
        <v>903</v>
      </c>
      <c r="B378" s="158" t="s">
        <v>626</v>
      </c>
      <c r="C378" s="168" t="s">
        <v>245</v>
      </c>
      <c r="D378" s="167">
        <v>9195978858</v>
      </c>
      <c r="E378" s="166">
        <v>499124019</v>
      </c>
      <c r="F378" s="158" t="s">
        <v>261</v>
      </c>
      <c r="G378" s="165">
        <v>36849</v>
      </c>
      <c r="H378" s="51">
        <f t="shared" ca="1" si="10"/>
        <v>15</v>
      </c>
      <c r="I378" s="164" t="str">
        <f t="shared" si="11"/>
        <v>November</v>
      </c>
      <c r="J378" s="52" t="s">
        <v>283</v>
      </c>
      <c r="K378" s="53">
        <v>34656</v>
      </c>
      <c r="L378" s="163">
        <v>3</v>
      </c>
    </row>
    <row r="379" spans="1:12" x14ac:dyDescent="0.25">
      <c r="A379" s="158" t="s">
        <v>826</v>
      </c>
      <c r="B379" s="158" t="s">
        <v>626</v>
      </c>
      <c r="C379" s="168" t="s">
        <v>285</v>
      </c>
      <c r="D379" s="167">
        <v>2527722509</v>
      </c>
      <c r="E379" s="166">
        <v>364404060</v>
      </c>
      <c r="F379" s="158" t="s">
        <v>261</v>
      </c>
      <c r="G379" s="165">
        <v>39090</v>
      </c>
      <c r="H379" s="51">
        <f t="shared" ca="1" si="10"/>
        <v>9</v>
      </c>
      <c r="I379" s="164" t="str">
        <f t="shared" si="11"/>
        <v>January</v>
      </c>
      <c r="J379" s="52" t="s">
        <v>257</v>
      </c>
      <c r="K379" s="53">
        <v>37506</v>
      </c>
      <c r="L379" s="163">
        <v>5</v>
      </c>
    </row>
    <row r="380" spans="1:12" x14ac:dyDescent="0.25">
      <c r="A380" s="158" t="s">
        <v>345</v>
      </c>
      <c r="B380" s="158" t="s">
        <v>626</v>
      </c>
      <c r="C380" s="168" t="s">
        <v>245</v>
      </c>
      <c r="D380" s="167">
        <v>9194331646</v>
      </c>
      <c r="E380" s="166">
        <v>738946277</v>
      </c>
      <c r="F380" s="158" t="s">
        <v>256</v>
      </c>
      <c r="G380" s="165">
        <v>33951</v>
      </c>
      <c r="H380" s="51">
        <f t="shared" ca="1" si="10"/>
        <v>23</v>
      </c>
      <c r="I380" s="164" t="str">
        <f t="shared" si="11"/>
        <v>December</v>
      </c>
      <c r="J380" s="52" t="s">
        <v>262</v>
      </c>
      <c r="K380" s="53">
        <v>37512</v>
      </c>
      <c r="L380" s="163">
        <v>5</v>
      </c>
    </row>
    <row r="381" spans="1:12" x14ac:dyDescent="0.25">
      <c r="A381" s="158" t="s">
        <v>347</v>
      </c>
      <c r="B381" s="158" t="s">
        <v>626</v>
      </c>
      <c r="C381" s="168" t="s">
        <v>280</v>
      </c>
      <c r="D381" s="167">
        <v>9192490678</v>
      </c>
      <c r="E381" s="166">
        <v>991764142</v>
      </c>
      <c r="F381" s="158" t="s">
        <v>247</v>
      </c>
      <c r="G381" s="165">
        <v>35675</v>
      </c>
      <c r="H381" s="51">
        <f t="shared" ca="1" si="10"/>
        <v>19</v>
      </c>
      <c r="I381" s="164" t="str">
        <f t="shared" si="11"/>
        <v>September</v>
      </c>
      <c r="J381" s="52"/>
      <c r="K381" s="53">
        <v>98316</v>
      </c>
      <c r="L381" s="163">
        <v>5</v>
      </c>
    </row>
    <row r="382" spans="1:12" x14ac:dyDescent="0.25">
      <c r="A382" s="158" t="s">
        <v>565</v>
      </c>
      <c r="B382" s="158" t="s">
        <v>626</v>
      </c>
      <c r="C382" s="168" t="s">
        <v>285</v>
      </c>
      <c r="D382" s="167">
        <v>2522256131</v>
      </c>
      <c r="E382" s="166">
        <v>643272576</v>
      </c>
      <c r="F382" s="158" t="s">
        <v>252</v>
      </c>
      <c r="G382" s="165">
        <v>34033</v>
      </c>
      <c r="H382" s="51">
        <f t="shared" ca="1" si="10"/>
        <v>23</v>
      </c>
      <c r="I382" s="164" t="str">
        <f t="shared" si="11"/>
        <v>March</v>
      </c>
      <c r="J382" s="52"/>
      <c r="K382" s="53">
        <v>44213</v>
      </c>
      <c r="L382" s="163">
        <v>4</v>
      </c>
    </row>
    <row r="383" spans="1:12" x14ac:dyDescent="0.25">
      <c r="A383" s="158" t="s">
        <v>761</v>
      </c>
      <c r="B383" s="158" t="s">
        <v>626</v>
      </c>
      <c r="C383" s="168" t="s">
        <v>245</v>
      </c>
      <c r="D383" s="167">
        <v>2526674988</v>
      </c>
      <c r="E383" s="166">
        <v>343897392</v>
      </c>
      <c r="F383" s="158" t="s">
        <v>256</v>
      </c>
      <c r="G383" s="165">
        <v>35982</v>
      </c>
      <c r="H383" s="51">
        <f t="shared" ca="1" si="10"/>
        <v>18</v>
      </c>
      <c r="I383" s="164" t="str">
        <f t="shared" si="11"/>
        <v>July</v>
      </c>
      <c r="J383" s="52" t="s">
        <v>257</v>
      </c>
      <c r="K383" s="53">
        <v>58560</v>
      </c>
      <c r="L383" s="163">
        <v>4</v>
      </c>
    </row>
    <row r="384" spans="1:12" x14ac:dyDescent="0.25">
      <c r="A384" s="158" t="s">
        <v>407</v>
      </c>
      <c r="B384" s="158" t="s">
        <v>626</v>
      </c>
      <c r="C384" s="168" t="s">
        <v>285</v>
      </c>
      <c r="D384" s="167">
        <v>9191462245</v>
      </c>
      <c r="E384" s="166">
        <v>983891302</v>
      </c>
      <c r="F384" s="158" t="s">
        <v>256</v>
      </c>
      <c r="G384" s="165">
        <v>36275</v>
      </c>
      <c r="H384" s="51">
        <f t="shared" ca="1" si="10"/>
        <v>17</v>
      </c>
      <c r="I384" s="164" t="str">
        <f t="shared" si="11"/>
        <v>April</v>
      </c>
      <c r="J384" s="52" t="s">
        <v>257</v>
      </c>
      <c r="K384" s="53">
        <v>97968</v>
      </c>
      <c r="L384" s="163">
        <v>4</v>
      </c>
    </row>
    <row r="385" spans="1:12" x14ac:dyDescent="0.25">
      <c r="A385" s="158" t="s">
        <v>915</v>
      </c>
      <c r="B385" s="158" t="s">
        <v>626</v>
      </c>
      <c r="C385" s="168" t="s">
        <v>251</v>
      </c>
      <c r="D385" s="167">
        <v>9195594427</v>
      </c>
      <c r="E385" s="166">
        <v>345817459</v>
      </c>
      <c r="F385" s="158" t="s">
        <v>247</v>
      </c>
      <c r="G385" s="165">
        <v>36927</v>
      </c>
      <c r="H385" s="51">
        <f t="shared" ca="1" si="10"/>
        <v>15</v>
      </c>
      <c r="I385" s="164" t="str">
        <f t="shared" si="11"/>
        <v>February</v>
      </c>
      <c r="J385" s="52"/>
      <c r="K385" s="53">
        <v>37524</v>
      </c>
      <c r="L385" s="163">
        <v>5</v>
      </c>
    </row>
    <row r="386" spans="1:12" x14ac:dyDescent="0.25">
      <c r="A386" s="158" t="s">
        <v>1009</v>
      </c>
      <c r="B386" s="158" t="s">
        <v>626</v>
      </c>
      <c r="C386" s="168" t="s">
        <v>285</v>
      </c>
      <c r="D386" s="167">
        <v>2524273090</v>
      </c>
      <c r="E386" s="166">
        <v>422957475</v>
      </c>
      <c r="F386" s="158" t="s">
        <v>256</v>
      </c>
      <c r="G386" s="165">
        <v>34905</v>
      </c>
      <c r="H386" s="51">
        <f t="shared" ref="H386:H449" ca="1" si="12">DATEDIF(G386,TODAY(),"Y")</f>
        <v>21</v>
      </c>
      <c r="I386" s="164" t="str">
        <f t="shared" ref="I386:I449" si="13">CHOOSE(MONTH(G386),"January","February","March","April","May","June","July","August","September","October","November","December")</f>
        <v>July</v>
      </c>
      <c r="J386" s="52" t="s">
        <v>283</v>
      </c>
      <c r="K386" s="53">
        <v>78300</v>
      </c>
      <c r="L386" s="163">
        <v>2</v>
      </c>
    </row>
    <row r="387" spans="1:12" x14ac:dyDescent="0.25">
      <c r="A387" s="158" t="s">
        <v>594</v>
      </c>
      <c r="B387" s="158" t="s">
        <v>626</v>
      </c>
      <c r="C387" s="168" t="s">
        <v>245</v>
      </c>
      <c r="D387" s="167">
        <v>2527726916</v>
      </c>
      <c r="E387" s="166">
        <v>132016163</v>
      </c>
      <c r="F387" s="158" t="s">
        <v>261</v>
      </c>
      <c r="G387" s="165">
        <v>40599</v>
      </c>
      <c r="H387" s="51">
        <f t="shared" ca="1" si="12"/>
        <v>5</v>
      </c>
      <c r="I387" s="164" t="str">
        <f t="shared" si="13"/>
        <v>February</v>
      </c>
      <c r="J387" s="52" t="s">
        <v>267</v>
      </c>
      <c r="K387" s="53">
        <v>46290</v>
      </c>
      <c r="L387" s="163">
        <v>2</v>
      </c>
    </row>
    <row r="388" spans="1:12" x14ac:dyDescent="0.25">
      <c r="A388" s="158" t="s">
        <v>672</v>
      </c>
      <c r="B388" s="158" t="s">
        <v>626</v>
      </c>
      <c r="C388" s="168" t="s">
        <v>266</v>
      </c>
      <c r="D388" s="167">
        <v>9194679864</v>
      </c>
      <c r="E388" s="166">
        <v>650784238</v>
      </c>
      <c r="F388" s="158" t="s">
        <v>247</v>
      </c>
      <c r="G388" s="165">
        <v>36246</v>
      </c>
      <c r="H388" s="51">
        <f t="shared" ca="1" si="12"/>
        <v>17</v>
      </c>
      <c r="I388" s="164" t="str">
        <f t="shared" si="13"/>
        <v>March</v>
      </c>
      <c r="J388" s="52"/>
      <c r="K388" s="53">
        <v>64644</v>
      </c>
      <c r="L388" s="163">
        <v>2</v>
      </c>
    </row>
    <row r="389" spans="1:12" x14ac:dyDescent="0.25">
      <c r="A389" s="158" t="s">
        <v>842</v>
      </c>
      <c r="B389" s="158" t="s">
        <v>626</v>
      </c>
      <c r="C389" s="168" t="s">
        <v>285</v>
      </c>
      <c r="D389" s="167">
        <v>2521683770</v>
      </c>
      <c r="E389" s="166">
        <v>567266382</v>
      </c>
      <c r="F389" s="158" t="s">
        <v>256</v>
      </c>
      <c r="G389" s="165">
        <v>36844</v>
      </c>
      <c r="H389" s="51">
        <f t="shared" ca="1" si="12"/>
        <v>16</v>
      </c>
      <c r="I389" s="164" t="str">
        <f t="shared" si="13"/>
        <v>November</v>
      </c>
      <c r="J389" s="52" t="s">
        <v>276</v>
      </c>
      <c r="K389" s="53">
        <v>59724</v>
      </c>
      <c r="L389" s="163">
        <v>1</v>
      </c>
    </row>
    <row r="390" spans="1:12" x14ac:dyDescent="0.25">
      <c r="A390" s="158" t="s">
        <v>926</v>
      </c>
      <c r="B390" s="158" t="s">
        <v>626</v>
      </c>
      <c r="C390" s="168" t="s">
        <v>285</v>
      </c>
      <c r="D390" s="167">
        <v>2521620909</v>
      </c>
      <c r="E390" s="166">
        <v>275102740</v>
      </c>
      <c r="F390" s="158" t="s">
        <v>256</v>
      </c>
      <c r="G390" s="165">
        <v>34423</v>
      </c>
      <c r="H390" s="51">
        <f t="shared" ca="1" si="12"/>
        <v>22</v>
      </c>
      <c r="I390" s="164" t="str">
        <f t="shared" si="13"/>
        <v>March</v>
      </c>
      <c r="J390" s="52" t="s">
        <v>262</v>
      </c>
      <c r="K390" s="53">
        <v>72672</v>
      </c>
      <c r="L390" s="163">
        <v>4</v>
      </c>
    </row>
    <row r="391" spans="1:12" x14ac:dyDescent="0.25">
      <c r="A391" s="158" t="s">
        <v>675</v>
      </c>
      <c r="B391" s="158" t="s">
        <v>626</v>
      </c>
      <c r="C391" s="168" t="s">
        <v>245</v>
      </c>
      <c r="D391" s="167">
        <v>9194378387</v>
      </c>
      <c r="E391" s="166">
        <v>662247915</v>
      </c>
      <c r="F391" s="158" t="s">
        <v>256</v>
      </c>
      <c r="G391" s="165">
        <v>37668</v>
      </c>
      <c r="H391" s="51">
        <f t="shared" ca="1" si="12"/>
        <v>13</v>
      </c>
      <c r="I391" s="164" t="str">
        <f t="shared" si="13"/>
        <v>February</v>
      </c>
      <c r="J391" s="52" t="s">
        <v>257</v>
      </c>
      <c r="K391" s="53">
        <v>58788</v>
      </c>
      <c r="L391" s="163">
        <v>5</v>
      </c>
    </row>
    <row r="392" spans="1:12" x14ac:dyDescent="0.25">
      <c r="A392" s="158" t="s">
        <v>764</v>
      </c>
      <c r="B392" s="158" t="s">
        <v>626</v>
      </c>
      <c r="C392" s="168" t="s">
        <v>266</v>
      </c>
      <c r="D392" s="167">
        <v>2524652136</v>
      </c>
      <c r="E392" s="166">
        <v>466400098</v>
      </c>
      <c r="F392" s="158" t="s">
        <v>247</v>
      </c>
      <c r="G392" s="165">
        <v>34782</v>
      </c>
      <c r="H392" s="51">
        <f t="shared" ca="1" si="12"/>
        <v>21</v>
      </c>
      <c r="I392" s="164" t="str">
        <f t="shared" si="13"/>
        <v>March</v>
      </c>
      <c r="J392" s="52"/>
      <c r="K392" s="53">
        <v>34800</v>
      </c>
      <c r="L392" s="163">
        <v>5</v>
      </c>
    </row>
    <row r="393" spans="1:12" x14ac:dyDescent="0.25">
      <c r="A393" s="158" t="s">
        <v>473</v>
      </c>
      <c r="B393" s="158" t="s">
        <v>678</v>
      </c>
      <c r="C393" s="168" t="s">
        <v>266</v>
      </c>
      <c r="D393" s="167">
        <v>9197494648</v>
      </c>
      <c r="E393" s="166">
        <v>113377726</v>
      </c>
      <c r="F393" s="158" t="s">
        <v>256</v>
      </c>
      <c r="G393" s="165">
        <v>37194</v>
      </c>
      <c r="H393" s="51">
        <f t="shared" ca="1" si="12"/>
        <v>15</v>
      </c>
      <c r="I393" s="164" t="str">
        <f t="shared" si="13"/>
        <v>October</v>
      </c>
      <c r="J393" s="52" t="s">
        <v>283</v>
      </c>
      <c r="K393" s="53">
        <v>82092</v>
      </c>
      <c r="L393" s="163">
        <v>5</v>
      </c>
    </row>
    <row r="394" spans="1:12" x14ac:dyDescent="0.25">
      <c r="A394" s="158" t="s">
        <v>637</v>
      </c>
      <c r="B394" s="158" t="s">
        <v>678</v>
      </c>
      <c r="C394" s="168" t="s">
        <v>271</v>
      </c>
      <c r="D394" s="167">
        <v>2521919147</v>
      </c>
      <c r="E394" s="166">
        <v>788832967</v>
      </c>
      <c r="F394" s="158" t="s">
        <v>252</v>
      </c>
      <c r="G394" s="165">
        <v>36109</v>
      </c>
      <c r="H394" s="51">
        <f t="shared" ca="1" si="12"/>
        <v>18</v>
      </c>
      <c r="I394" s="164" t="str">
        <f t="shared" si="13"/>
        <v>November</v>
      </c>
      <c r="J394" s="52"/>
      <c r="K394" s="53">
        <v>42374</v>
      </c>
      <c r="L394" s="163">
        <v>3</v>
      </c>
    </row>
    <row r="395" spans="1:12" x14ac:dyDescent="0.25">
      <c r="A395" s="158" t="s">
        <v>299</v>
      </c>
      <c r="B395" s="158" t="s">
        <v>678</v>
      </c>
      <c r="C395" s="168" t="s">
        <v>271</v>
      </c>
      <c r="D395" s="167">
        <v>2523820613</v>
      </c>
      <c r="E395" s="166">
        <v>797431044</v>
      </c>
      <c r="F395" s="158" t="s">
        <v>252</v>
      </c>
      <c r="G395" s="165">
        <v>36812</v>
      </c>
      <c r="H395" s="51">
        <f t="shared" ca="1" si="12"/>
        <v>16</v>
      </c>
      <c r="I395" s="164" t="str">
        <f t="shared" si="13"/>
        <v>October</v>
      </c>
      <c r="J395" s="52"/>
      <c r="K395" s="53">
        <v>26002</v>
      </c>
      <c r="L395" s="163">
        <v>4</v>
      </c>
    </row>
    <row r="396" spans="1:12" x14ac:dyDescent="0.25">
      <c r="A396" s="158" t="s">
        <v>326</v>
      </c>
      <c r="B396" s="158" t="s">
        <v>678</v>
      </c>
      <c r="C396" s="168" t="s">
        <v>251</v>
      </c>
      <c r="D396" s="167">
        <v>2524373324</v>
      </c>
      <c r="E396" s="166">
        <v>755945415</v>
      </c>
      <c r="F396" s="158" t="s">
        <v>247</v>
      </c>
      <c r="G396" s="165">
        <v>41061</v>
      </c>
      <c r="H396" s="51">
        <f t="shared" ca="1" si="12"/>
        <v>4</v>
      </c>
      <c r="I396" s="164" t="str">
        <f t="shared" si="13"/>
        <v>June</v>
      </c>
      <c r="J396" s="52"/>
      <c r="K396" s="53">
        <v>88824</v>
      </c>
      <c r="L396" s="163">
        <v>2</v>
      </c>
    </row>
    <row r="397" spans="1:12" x14ac:dyDescent="0.25">
      <c r="A397" s="158" t="s">
        <v>720</v>
      </c>
      <c r="B397" s="158" t="s">
        <v>678</v>
      </c>
      <c r="C397" s="168" t="s">
        <v>285</v>
      </c>
      <c r="D397" s="167">
        <v>9193820411</v>
      </c>
      <c r="E397" s="166">
        <v>414905182</v>
      </c>
      <c r="F397" s="158" t="s">
        <v>256</v>
      </c>
      <c r="G397" s="165">
        <v>35849</v>
      </c>
      <c r="H397" s="51">
        <f t="shared" ca="1" si="12"/>
        <v>18</v>
      </c>
      <c r="I397" s="164" t="str">
        <f t="shared" si="13"/>
        <v>February</v>
      </c>
      <c r="J397" s="52" t="s">
        <v>283</v>
      </c>
      <c r="K397" s="53">
        <v>27432</v>
      </c>
      <c r="L397" s="163">
        <v>5</v>
      </c>
    </row>
    <row r="398" spans="1:12" x14ac:dyDescent="0.25">
      <c r="A398" s="158" t="s">
        <v>967</v>
      </c>
      <c r="B398" s="158" t="s">
        <v>678</v>
      </c>
      <c r="C398" s="168" t="s">
        <v>285</v>
      </c>
      <c r="D398" s="167">
        <v>9192126707</v>
      </c>
      <c r="E398" s="166">
        <v>468953266</v>
      </c>
      <c r="F398" s="158" t="s">
        <v>256</v>
      </c>
      <c r="G398" s="165">
        <v>34469</v>
      </c>
      <c r="H398" s="51">
        <f t="shared" ca="1" si="12"/>
        <v>22</v>
      </c>
      <c r="I398" s="164" t="str">
        <f t="shared" si="13"/>
        <v>May</v>
      </c>
      <c r="J398" s="52" t="s">
        <v>257</v>
      </c>
      <c r="K398" s="53">
        <v>58260</v>
      </c>
      <c r="L398" s="163">
        <v>5</v>
      </c>
    </row>
    <row r="399" spans="1:12" x14ac:dyDescent="0.25">
      <c r="A399" s="158" t="s">
        <v>644</v>
      </c>
      <c r="B399" s="158" t="s">
        <v>678</v>
      </c>
      <c r="C399" s="168" t="s">
        <v>280</v>
      </c>
      <c r="D399" s="167">
        <v>2528183445</v>
      </c>
      <c r="E399" s="166">
        <v>247555666</v>
      </c>
      <c r="F399" s="158" t="s">
        <v>256</v>
      </c>
      <c r="G399" s="165">
        <v>34345</v>
      </c>
      <c r="H399" s="51">
        <f t="shared" ca="1" si="12"/>
        <v>22</v>
      </c>
      <c r="I399" s="164" t="str">
        <f t="shared" si="13"/>
        <v>January</v>
      </c>
      <c r="J399" s="52" t="s">
        <v>257</v>
      </c>
      <c r="K399" s="53">
        <v>46932</v>
      </c>
      <c r="L399" s="163">
        <v>5</v>
      </c>
    </row>
    <row r="400" spans="1:12" x14ac:dyDescent="0.25">
      <c r="A400" s="158" t="s">
        <v>814</v>
      </c>
      <c r="B400" s="158" t="s">
        <v>678</v>
      </c>
      <c r="C400" s="168" t="s">
        <v>245</v>
      </c>
      <c r="D400" s="167">
        <v>9192529195</v>
      </c>
      <c r="E400" s="166">
        <v>550291321</v>
      </c>
      <c r="F400" s="158" t="s">
        <v>247</v>
      </c>
      <c r="G400" s="165">
        <v>36775</v>
      </c>
      <c r="H400" s="51">
        <f t="shared" ca="1" si="12"/>
        <v>16</v>
      </c>
      <c r="I400" s="164" t="str">
        <f t="shared" si="13"/>
        <v>September</v>
      </c>
      <c r="J400" s="52"/>
      <c r="K400" s="53">
        <v>86976</v>
      </c>
      <c r="L400" s="163">
        <v>2</v>
      </c>
    </row>
    <row r="401" spans="1:12" x14ac:dyDescent="0.25">
      <c r="A401" s="158" t="s">
        <v>387</v>
      </c>
      <c r="B401" s="158" t="s">
        <v>678</v>
      </c>
      <c r="C401" s="168" t="s">
        <v>266</v>
      </c>
      <c r="D401" s="167">
        <v>9194605984</v>
      </c>
      <c r="E401" s="166">
        <v>917195248</v>
      </c>
      <c r="F401" s="158" t="s">
        <v>252</v>
      </c>
      <c r="G401" s="165">
        <v>38555</v>
      </c>
      <c r="H401" s="51">
        <f t="shared" ca="1" si="12"/>
        <v>11</v>
      </c>
      <c r="I401" s="164" t="str">
        <f t="shared" si="13"/>
        <v>July</v>
      </c>
      <c r="J401" s="52"/>
      <c r="K401" s="53">
        <v>13253</v>
      </c>
      <c r="L401" s="163">
        <v>2</v>
      </c>
    </row>
    <row r="402" spans="1:12" x14ac:dyDescent="0.25">
      <c r="A402" s="158" t="s">
        <v>542</v>
      </c>
      <c r="B402" s="158" t="s">
        <v>678</v>
      </c>
      <c r="C402" s="168" t="s">
        <v>271</v>
      </c>
      <c r="D402" s="167">
        <v>9196109756</v>
      </c>
      <c r="E402" s="166">
        <v>332302868</v>
      </c>
      <c r="F402" s="158" t="s">
        <v>256</v>
      </c>
      <c r="G402" s="165">
        <v>36903</v>
      </c>
      <c r="H402" s="51">
        <f t="shared" ca="1" si="12"/>
        <v>15</v>
      </c>
      <c r="I402" s="164" t="str">
        <f t="shared" si="13"/>
        <v>January</v>
      </c>
      <c r="J402" s="52" t="s">
        <v>283</v>
      </c>
      <c r="K402" s="53">
        <v>28224</v>
      </c>
      <c r="L402" s="163">
        <v>2</v>
      </c>
    </row>
    <row r="403" spans="1:12" x14ac:dyDescent="0.25">
      <c r="A403" s="158" t="s">
        <v>337</v>
      </c>
      <c r="B403" s="158" t="s">
        <v>678</v>
      </c>
      <c r="C403" s="168" t="s">
        <v>280</v>
      </c>
      <c r="D403" s="167">
        <v>9196753698</v>
      </c>
      <c r="E403" s="166">
        <v>303641529</v>
      </c>
      <c r="F403" s="158" t="s">
        <v>261</v>
      </c>
      <c r="G403" s="165">
        <v>35878</v>
      </c>
      <c r="H403" s="51">
        <f t="shared" ca="1" si="12"/>
        <v>18</v>
      </c>
      <c r="I403" s="164" t="str">
        <f t="shared" si="13"/>
        <v>March</v>
      </c>
      <c r="J403" s="52" t="s">
        <v>257</v>
      </c>
      <c r="K403" s="53">
        <v>59286</v>
      </c>
      <c r="L403" s="163">
        <v>4</v>
      </c>
    </row>
    <row r="404" spans="1:12" x14ac:dyDescent="0.25">
      <c r="A404" s="158" t="s">
        <v>728</v>
      </c>
      <c r="B404" s="158" t="s">
        <v>678</v>
      </c>
      <c r="C404" s="168" t="s">
        <v>245</v>
      </c>
      <c r="D404" s="167">
        <v>2522523567</v>
      </c>
      <c r="E404" s="166">
        <v>261486180</v>
      </c>
      <c r="F404" s="158" t="s">
        <v>247</v>
      </c>
      <c r="G404" s="165">
        <v>37964</v>
      </c>
      <c r="H404" s="51">
        <f t="shared" ca="1" si="12"/>
        <v>12</v>
      </c>
      <c r="I404" s="164" t="str">
        <f t="shared" si="13"/>
        <v>December</v>
      </c>
      <c r="J404" s="52"/>
      <c r="K404" s="53">
        <v>35448</v>
      </c>
      <c r="L404" s="163">
        <v>3</v>
      </c>
    </row>
    <row r="405" spans="1:12" x14ac:dyDescent="0.25">
      <c r="A405" s="158" t="s">
        <v>551</v>
      </c>
      <c r="B405" s="158" t="s">
        <v>678</v>
      </c>
      <c r="C405" s="168" t="s">
        <v>271</v>
      </c>
      <c r="D405" s="167">
        <v>2521389906</v>
      </c>
      <c r="E405" s="166">
        <v>221364716</v>
      </c>
      <c r="F405" s="158" t="s">
        <v>256</v>
      </c>
      <c r="G405" s="165">
        <v>37626</v>
      </c>
      <c r="H405" s="51">
        <f t="shared" ca="1" si="12"/>
        <v>13</v>
      </c>
      <c r="I405" s="164" t="str">
        <f t="shared" si="13"/>
        <v>January</v>
      </c>
      <c r="J405" s="52" t="s">
        <v>257</v>
      </c>
      <c r="K405" s="53">
        <v>86184</v>
      </c>
      <c r="L405" s="163">
        <v>2</v>
      </c>
    </row>
    <row r="406" spans="1:12" x14ac:dyDescent="0.25">
      <c r="A406" s="158" t="s">
        <v>300</v>
      </c>
      <c r="B406" s="158" t="s">
        <v>678</v>
      </c>
      <c r="C406" s="168" t="s">
        <v>285</v>
      </c>
      <c r="D406" s="167">
        <v>9197187041</v>
      </c>
      <c r="E406" s="166">
        <v>167646549</v>
      </c>
      <c r="F406" s="158" t="s">
        <v>247</v>
      </c>
      <c r="G406" s="165">
        <v>38531</v>
      </c>
      <c r="H406" s="51">
        <f t="shared" ca="1" si="12"/>
        <v>11</v>
      </c>
      <c r="I406" s="164" t="str">
        <f t="shared" si="13"/>
        <v>June</v>
      </c>
      <c r="J406" s="52"/>
      <c r="K406" s="53">
        <v>93720</v>
      </c>
      <c r="L406" s="163">
        <v>3</v>
      </c>
    </row>
    <row r="407" spans="1:12" x14ac:dyDescent="0.25">
      <c r="A407" s="158" t="s">
        <v>441</v>
      </c>
      <c r="B407" s="158" t="s">
        <v>678</v>
      </c>
      <c r="C407" s="168" t="s">
        <v>251</v>
      </c>
      <c r="D407" s="167">
        <v>9191617913</v>
      </c>
      <c r="E407" s="166">
        <v>859204644</v>
      </c>
      <c r="F407" s="158" t="s">
        <v>247</v>
      </c>
      <c r="G407" s="165">
        <v>36452</v>
      </c>
      <c r="H407" s="51">
        <f t="shared" ca="1" si="12"/>
        <v>17</v>
      </c>
      <c r="I407" s="164" t="str">
        <f t="shared" si="13"/>
        <v>October</v>
      </c>
      <c r="J407" s="52"/>
      <c r="K407" s="53">
        <v>103764</v>
      </c>
      <c r="L407" s="163">
        <v>4</v>
      </c>
    </row>
    <row r="408" spans="1:12" x14ac:dyDescent="0.25">
      <c r="A408" s="158" t="s">
        <v>909</v>
      </c>
      <c r="B408" s="158" t="s">
        <v>678</v>
      </c>
      <c r="C408" s="168" t="s">
        <v>280</v>
      </c>
      <c r="D408" s="167">
        <v>9193891189</v>
      </c>
      <c r="E408" s="166">
        <v>478004556</v>
      </c>
      <c r="F408" s="158" t="s">
        <v>256</v>
      </c>
      <c r="G408" s="165">
        <v>41261</v>
      </c>
      <c r="H408" s="51">
        <f t="shared" ca="1" si="12"/>
        <v>3</v>
      </c>
      <c r="I408" s="164" t="str">
        <f t="shared" si="13"/>
        <v>December</v>
      </c>
      <c r="J408" s="52" t="s">
        <v>276</v>
      </c>
      <c r="K408" s="53">
        <v>74616</v>
      </c>
      <c r="L408" s="163">
        <v>2</v>
      </c>
    </row>
    <row r="409" spans="1:12" x14ac:dyDescent="0.25">
      <c r="A409" s="158" t="s">
        <v>353</v>
      </c>
      <c r="B409" s="158" t="s">
        <v>678</v>
      </c>
      <c r="C409" s="168" t="s">
        <v>271</v>
      </c>
      <c r="D409" s="167">
        <v>2526525807</v>
      </c>
      <c r="E409" s="166">
        <v>122440839</v>
      </c>
      <c r="F409" s="158" t="s">
        <v>261</v>
      </c>
      <c r="G409" s="165">
        <v>36689</v>
      </c>
      <c r="H409" s="51">
        <f t="shared" ca="1" si="12"/>
        <v>16</v>
      </c>
      <c r="I409" s="164" t="str">
        <f t="shared" si="13"/>
        <v>June</v>
      </c>
      <c r="J409" s="52" t="s">
        <v>257</v>
      </c>
      <c r="K409" s="53">
        <v>24600</v>
      </c>
      <c r="L409" s="163">
        <v>3</v>
      </c>
    </row>
    <row r="410" spans="1:12" x14ac:dyDescent="0.25">
      <c r="A410" s="158" t="s">
        <v>622</v>
      </c>
      <c r="B410" s="158" t="s">
        <v>678</v>
      </c>
      <c r="C410" s="168" t="s">
        <v>271</v>
      </c>
      <c r="D410" s="167">
        <v>9196795200</v>
      </c>
      <c r="E410" s="166">
        <v>397835298</v>
      </c>
      <c r="F410" s="158" t="s">
        <v>247</v>
      </c>
      <c r="G410" s="165">
        <v>41100</v>
      </c>
      <c r="H410" s="51">
        <f t="shared" ca="1" si="12"/>
        <v>4</v>
      </c>
      <c r="I410" s="164" t="str">
        <f t="shared" si="13"/>
        <v>July</v>
      </c>
      <c r="J410" s="52"/>
      <c r="K410" s="53">
        <v>90120</v>
      </c>
      <c r="L410" s="163">
        <v>4</v>
      </c>
    </row>
    <row r="411" spans="1:12" x14ac:dyDescent="0.25">
      <c r="A411" s="158" t="s">
        <v>922</v>
      </c>
      <c r="B411" s="158" t="s">
        <v>678</v>
      </c>
      <c r="C411" s="168" t="s">
        <v>285</v>
      </c>
      <c r="D411" s="167">
        <v>2524264889</v>
      </c>
      <c r="E411" s="166">
        <v>802700229</v>
      </c>
      <c r="F411" s="158" t="s">
        <v>256</v>
      </c>
      <c r="G411" s="165">
        <v>34632</v>
      </c>
      <c r="H411" s="51">
        <f t="shared" ca="1" si="12"/>
        <v>22</v>
      </c>
      <c r="I411" s="164" t="str">
        <f t="shared" si="13"/>
        <v>October</v>
      </c>
      <c r="J411" s="52" t="s">
        <v>262</v>
      </c>
      <c r="K411" s="53">
        <v>105576</v>
      </c>
      <c r="L411" s="163">
        <v>1</v>
      </c>
    </row>
    <row r="412" spans="1:12" x14ac:dyDescent="0.25">
      <c r="A412" s="158" t="s">
        <v>852</v>
      </c>
      <c r="B412" s="158" t="s">
        <v>678</v>
      </c>
      <c r="C412" s="168" t="s">
        <v>285</v>
      </c>
      <c r="D412" s="167">
        <v>9192783818</v>
      </c>
      <c r="E412" s="166">
        <v>557568959</v>
      </c>
      <c r="F412" s="158" t="s">
        <v>247</v>
      </c>
      <c r="G412" s="165">
        <v>36175</v>
      </c>
      <c r="H412" s="51">
        <f t="shared" ca="1" si="12"/>
        <v>17</v>
      </c>
      <c r="I412" s="164" t="str">
        <f t="shared" si="13"/>
        <v>January</v>
      </c>
      <c r="J412" s="52"/>
      <c r="K412" s="53">
        <v>65028</v>
      </c>
      <c r="L412" s="163">
        <v>4</v>
      </c>
    </row>
    <row r="413" spans="1:12" x14ac:dyDescent="0.25">
      <c r="A413" s="158" t="s">
        <v>409</v>
      </c>
      <c r="B413" s="158" t="s">
        <v>678</v>
      </c>
      <c r="C413" s="168" t="s">
        <v>280</v>
      </c>
      <c r="D413" s="167">
        <v>2525555817</v>
      </c>
      <c r="E413" s="166">
        <v>665006199</v>
      </c>
      <c r="F413" s="158" t="s">
        <v>256</v>
      </c>
      <c r="G413" s="165">
        <v>37295</v>
      </c>
      <c r="H413" s="51">
        <f t="shared" ca="1" si="12"/>
        <v>14</v>
      </c>
      <c r="I413" s="164" t="str">
        <f t="shared" si="13"/>
        <v>February</v>
      </c>
      <c r="J413" s="52" t="s">
        <v>276</v>
      </c>
      <c r="K413" s="53">
        <v>54540</v>
      </c>
      <c r="L413" s="163">
        <v>5</v>
      </c>
    </row>
    <row r="414" spans="1:12" x14ac:dyDescent="0.25">
      <c r="A414" s="158" t="s">
        <v>464</v>
      </c>
      <c r="B414" s="158" t="s">
        <v>700</v>
      </c>
      <c r="C414" s="168" t="s">
        <v>245</v>
      </c>
      <c r="D414" s="167">
        <v>2522911046</v>
      </c>
      <c r="E414" s="166">
        <v>425943144</v>
      </c>
      <c r="F414" s="158" t="s">
        <v>247</v>
      </c>
      <c r="G414" s="165">
        <v>35136</v>
      </c>
      <c r="H414" s="51">
        <f t="shared" ca="1" si="12"/>
        <v>20</v>
      </c>
      <c r="I414" s="164" t="str">
        <f t="shared" si="13"/>
        <v>March</v>
      </c>
      <c r="J414" s="52"/>
      <c r="K414" s="53">
        <v>86040</v>
      </c>
      <c r="L414" s="163">
        <v>2</v>
      </c>
    </row>
    <row r="415" spans="1:12" x14ac:dyDescent="0.25">
      <c r="A415" s="158" t="s">
        <v>554</v>
      </c>
      <c r="B415" s="158" t="s">
        <v>700</v>
      </c>
      <c r="C415" s="168" t="s">
        <v>245</v>
      </c>
      <c r="D415" s="167">
        <v>9197764351</v>
      </c>
      <c r="E415" s="166">
        <v>252582122</v>
      </c>
      <c r="F415" s="158" t="s">
        <v>247</v>
      </c>
      <c r="G415" s="165">
        <v>36179</v>
      </c>
      <c r="H415" s="51">
        <f t="shared" ca="1" si="12"/>
        <v>17</v>
      </c>
      <c r="I415" s="164" t="str">
        <f t="shared" si="13"/>
        <v>January</v>
      </c>
      <c r="J415" s="52"/>
      <c r="K415" s="53">
        <v>30144</v>
      </c>
      <c r="L415" s="163">
        <v>2</v>
      </c>
    </row>
    <row r="416" spans="1:12" x14ac:dyDescent="0.25">
      <c r="A416" s="158" t="s">
        <v>834</v>
      </c>
      <c r="B416" s="158" t="s">
        <v>700</v>
      </c>
      <c r="C416" s="168" t="s">
        <v>271</v>
      </c>
      <c r="D416" s="167">
        <v>9194794769</v>
      </c>
      <c r="E416" s="166">
        <v>121688720</v>
      </c>
      <c r="F416" s="158" t="s">
        <v>247</v>
      </c>
      <c r="G416" s="165">
        <v>36295</v>
      </c>
      <c r="H416" s="51">
        <f t="shared" ca="1" si="12"/>
        <v>17</v>
      </c>
      <c r="I416" s="164" t="str">
        <f t="shared" si="13"/>
        <v>May</v>
      </c>
      <c r="J416" s="52"/>
      <c r="K416" s="53">
        <v>53784</v>
      </c>
      <c r="L416" s="163">
        <v>4</v>
      </c>
    </row>
    <row r="417" spans="1:12" x14ac:dyDescent="0.25">
      <c r="A417" s="158" t="s">
        <v>291</v>
      </c>
      <c r="B417" s="158" t="s">
        <v>700</v>
      </c>
      <c r="C417" s="168" t="s">
        <v>285</v>
      </c>
      <c r="D417" s="167">
        <v>9192601200</v>
      </c>
      <c r="E417" s="166">
        <v>974912089</v>
      </c>
      <c r="F417" s="158" t="s">
        <v>256</v>
      </c>
      <c r="G417" s="165">
        <v>35542</v>
      </c>
      <c r="H417" s="51">
        <f t="shared" ca="1" si="12"/>
        <v>19</v>
      </c>
      <c r="I417" s="164" t="str">
        <f t="shared" si="13"/>
        <v>April</v>
      </c>
      <c r="J417" s="52" t="s">
        <v>257</v>
      </c>
      <c r="K417" s="53">
        <v>75828</v>
      </c>
      <c r="L417" s="163">
        <v>1</v>
      </c>
    </row>
    <row r="418" spans="1:12" x14ac:dyDescent="0.25">
      <c r="A418" s="158" t="s">
        <v>706</v>
      </c>
      <c r="B418" s="158" t="s">
        <v>705</v>
      </c>
      <c r="C418" s="168" t="s">
        <v>271</v>
      </c>
      <c r="D418" s="167">
        <v>9194471952</v>
      </c>
      <c r="E418" s="166">
        <v>931977751</v>
      </c>
      <c r="F418" s="158" t="s">
        <v>256</v>
      </c>
      <c r="G418" s="165">
        <v>35629</v>
      </c>
      <c r="H418" s="51">
        <f t="shared" ca="1" si="12"/>
        <v>19</v>
      </c>
      <c r="I418" s="164" t="str">
        <f t="shared" si="13"/>
        <v>July</v>
      </c>
      <c r="J418" s="52" t="s">
        <v>257</v>
      </c>
      <c r="K418" s="53">
        <v>30996</v>
      </c>
      <c r="L418" s="163">
        <v>5</v>
      </c>
    </row>
    <row r="419" spans="1:12" x14ac:dyDescent="0.25">
      <c r="A419" s="158" t="s">
        <v>627</v>
      </c>
      <c r="B419" s="158" t="s">
        <v>705</v>
      </c>
      <c r="C419" s="168" t="s">
        <v>285</v>
      </c>
      <c r="D419" s="167">
        <v>2527345539</v>
      </c>
      <c r="E419" s="166">
        <v>842774592</v>
      </c>
      <c r="F419" s="158" t="s">
        <v>252</v>
      </c>
      <c r="G419" s="165">
        <v>38872</v>
      </c>
      <c r="H419" s="51">
        <f t="shared" ca="1" si="12"/>
        <v>10</v>
      </c>
      <c r="I419" s="164" t="str">
        <f t="shared" si="13"/>
        <v>June</v>
      </c>
      <c r="J419" s="52"/>
      <c r="K419" s="53">
        <v>40214</v>
      </c>
      <c r="L419" s="163">
        <v>4</v>
      </c>
    </row>
    <row r="420" spans="1:12" x14ac:dyDescent="0.25">
      <c r="A420" s="158" t="s">
        <v>475</v>
      </c>
      <c r="B420" s="158" t="s">
        <v>705</v>
      </c>
      <c r="C420" s="168" t="s">
        <v>251</v>
      </c>
      <c r="D420" s="167">
        <v>9195750692</v>
      </c>
      <c r="E420" s="166">
        <v>719165738</v>
      </c>
      <c r="F420" s="158" t="s">
        <v>247</v>
      </c>
      <c r="G420" s="165">
        <v>41196</v>
      </c>
      <c r="H420" s="51">
        <f t="shared" ca="1" si="12"/>
        <v>4</v>
      </c>
      <c r="I420" s="164" t="str">
        <f t="shared" si="13"/>
        <v>October</v>
      </c>
      <c r="J420" s="52"/>
      <c r="K420" s="53">
        <v>47328</v>
      </c>
      <c r="L420" s="163">
        <v>4</v>
      </c>
    </row>
    <row r="421" spans="1:12" x14ac:dyDescent="0.25">
      <c r="A421" s="158" t="s">
        <v>476</v>
      </c>
      <c r="B421" s="158" t="s">
        <v>705</v>
      </c>
      <c r="C421" s="168" t="s">
        <v>271</v>
      </c>
      <c r="D421" s="167">
        <v>9194694995</v>
      </c>
      <c r="E421" s="166">
        <v>960967007</v>
      </c>
      <c r="F421" s="158" t="s">
        <v>247</v>
      </c>
      <c r="G421" s="165">
        <v>37351</v>
      </c>
      <c r="H421" s="51">
        <f t="shared" ca="1" si="12"/>
        <v>14</v>
      </c>
      <c r="I421" s="164" t="str">
        <f t="shared" si="13"/>
        <v>April</v>
      </c>
      <c r="J421" s="52"/>
      <c r="K421" s="53">
        <v>36360</v>
      </c>
      <c r="L421" s="163">
        <v>1</v>
      </c>
    </row>
    <row r="422" spans="1:12" x14ac:dyDescent="0.25">
      <c r="A422" s="158" t="s">
        <v>486</v>
      </c>
      <c r="B422" s="158" t="s">
        <v>705</v>
      </c>
      <c r="C422" s="168" t="s">
        <v>251</v>
      </c>
      <c r="D422" s="167">
        <v>9193967339</v>
      </c>
      <c r="E422" s="166">
        <v>761337848</v>
      </c>
      <c r="F422" s="158" t="s">
        <v>247</v>
      </c>
      <c r="G422" s="165">
        <v>35230</v>
      </c>
      <c r="H422" s="51">
        <f t="shared" ca="1" si="12"/>
        <v>20</v>
      </c>
      <c r="I422" s="164" t="str">
        <f t="shared" si="13"/>
        <v>June</v>
      </c>
      <c r="J422" s="52"/>
      <c r="K422" s="53">
        <v>80052</v>
      </c>
      <c r="L422" s="163">
        <v>2</v>
      </c>
    </row>
    <row r="423" spans="1:12" x14ac:dyDescent="0.25">
      <c r="A423" s="158" t="s">
        <v>419</v>
      </c>
      <c r="B423" s="158" t="s">
        <v>705</v>
      </c>
      <c r="C423" s="168" t="s">
        <v>271</v>
      </c>
      <c r="D423" s="167">
        <v>9194518022</v>
      </c>
      <c r="E423" s="166">
        <v>290385638</v>
      </c>
      <c r="F423" s="158" t="s">
        <v>261</v>
      </c>
      <c r="G423" s="165">
        <v>34230</v>
      </c>
      <c r="H423" s="51">
        <f t="shared" ca="1" si="12"/>
        <v>23</v>
      </c>
      <c r="I423" s="164" t="str">
        <f t="shared" si="13"/>
        <v>September</v>
      </c>
      <c r="J423" s="52" t="s">
        <v>262</v>
      </c>
      <c r="K423" s="53">
        <v>42054</v>
      </c>
      <c r="L423" s="163">
        <v>4</v>
      </c>
    </row>
    <row r="424" spans="1:12" x14ac:dyDescent="0.25">
      <c r="A424" s="158" t="s">
        <v>380</v>
      </c>
      <c r="B424" s="158" t="s">
        <v>705</v>
      </c>
      <c r="C424" s="168" t="s">
        <v>285</v>
      </c>
      <c r="D424" s="167">
        <v>9194744493</v>
      </c>
      <c r="E424" s="166">
        <v>959568761</v>
      </c>
      <c r="F424" s="158" t="s">
        <v>256</v>
      </c>
      <c r="G424" s="165">
        <v>34185</v>
      </c>
      <c r="H424" s="51">
        <f t="shared" ca="1" si="12"/>
        <v>23</v>
      </c>
      <c r="I424" s="164" t="str">
        <f t="shared" si="13"/>
        <v>August</v>
      </c>
      <c r="J424" s="52" t="s">
        <v>267</v>
      </c>
      <c r="K424" s="53">
        <v>73764</v>
      </c>
      <c r="L424" s="163">
        <v>5</v>
      </c>
    </row>
    <row r="425" spans="1:12" x14ac:dyDescent="0.25">
      <c r="A425" s="158" t="s">
        <v>684</v>
      </c>
      <c r="B425" s="158" t="s">
        <v>705</v>
      </c>
      <c r="C425" s="168" t="s">
        <v>285</v>
      </c>
      <c r="D425" s="167">
        <v>9196335284</v>
      </c>
      <c r="E425" s="166">
        <v>824046378</v>
      </c>
      <c r="F425" s="158" t="s">
        <v>256</v>
      </c>
      <c r="G425" s="165">
        <v>36107</v>
      </c>
      <c r="H425" s="51">
        <f t="shared" ca="1" si="12"/>
        <v>18</v>
      </c>
      <c r="I425" s="164" t="str">
        <f t="shared" si="13"/>
        <v>November</v>
      </c>
      <c r="J425" s="52" t="s">
        <v>276</v>
      </c>
      <c r="K425" s="53">
        <v>80676</v>
      </c>
      <c r="L425" s="163">
        <v>4</v>
      </c>
    </row>
    <row r="426" spans="1:12" x14ac:dyDescent="0.25">
      <c r="A426" s="158" t="s">
        <v>947</v>
      </c>
      <c r="B426" s="158" t="s">
        <v>705</v>
      </c>
      <c r="C426" s="168" t="s">
        <v>271</v>
      </c>
      <c r="D426" s="167">
        <v>9191162663</v>
      </c>
      <c r="E426" s="166">
        <v>272714784</v>
      </c>
      <c r="F426" s="158" t="s">
        <v>252</v>
      </c>
      <c r="G426" s="165">
        <v>38439</v>
      </c>
      <c r="H426" s="51">
        <f t="shared" ca="1" si="12"/>
        <v>11</v>
      </c>
      <c r="I426" s="164" t="str">
        <f t="shared" si="13"/>
        <v>March</v>
      </c>
      <c r="J426" s="52"/>
      <c r="K426" s="53">
        <v>25978</v>
      </c>
      <c r="L426" s="163">
        <v>2</v>
      </c>
    </row>
    <row r="427" spans="1:12" x14ac:dyDescent="0.25">
      <c r="A427" s="158" t="s">
        <v>874</v>
      </c>
      <c r="B427" s="158" t="s">
        <v>705</v>
      </c>
      <c r="C427" s="168" t="s">
        <v>251</v>
      </c>
      <c r="D427" s="167">
        <v>9196069116</v>
      </c>
      <c r="E427" s="166">
        <v>120479503</v>
      </c>
      <c r="F427" s="158" t="s">
        <v>261</v>
      </c>
      <c r="G427" s="165">
        <v>40027</v>
      </c>
      <c r="H427" s="51">
        <f t="shared" ca="1" si="12"/>
        <v>7</v>
      </c>
      <c r="I427" s="164" t="str">
        <f t="shared" si="13"/>
        <v>August</v>
      </c>
      <c r="J427" s="52" t="s">
        <v>276</v>
      </c>
      <c r="K427" s="53">
        <v>57312</v>
      </c>
      <c r="L427" s="163">
        <v>3</v>
      </c>
    </row>
    <row r="428" spans="1:12" x14ac:dyDescent="0.25">
      <c r="A428" s="158" t="s">
        <v>791</v>
      </c>
      <c r="B428" s="158" t="s">
        <v>705</v>
      </c>
      <c r="C428" s="168" t="s">
        <v>245</v>
      </c>
      <c r="D428" s="167">
        <v>9193744359</v>
      </c>
      <c r="E428" s="166">
        <v>294130565</v>
      </c>
      <c r="F428" s="158" t="s">
        <v>256</v>
      </c>
      <c r="G428" s="165">
        <v>34364</v>
      </c>
      <c r="H428" s="51">
        <f t="shared" ca="1" si="12"/>
        <v>22</v>
      </c>
      <c r="I428" s="164" t="str">
        <f t="shared" si="13"/>
        <v>January</v>
      </c>
      <c r="J428" s="52" t="s">
        <v>257</v>
      </c>
      <c r="K428" s="53">
        <v>31632</v>
      </c>
      <c r="L428" s="163">
        <v>1</v>
      </c>
    </row>
    <row r="429" spans="1:12" x14ac:dyDescent="0.25">
      <c r="A429" s="158" t="s">
        <v>425</v>
      </c>
      <c r="B429" s="158" t="s">
        <v>705</v>
      </c>
      <c r="C429" s="168" t="s">
        <v>271</v>
      </c>
      <c r="D429" s="167">
        <v>2526345909</v>
      </c>
      <c r="E429" s="166">
        <v>617795992</v>
      </c>
      <c r="F429" s="158" t="s">
        <v>256</v>
      </c>
      <c r="G429" s="165">
        <v>34306</v>
      </c>
      <c r="H429" s="51">
        <f t="shared" ca="1" si="12"/>
        <v>22</v>
      </c>
      <c r="I429" s="164" t="str">
        <f t="shared" si="13"/>
        <v>December</v>
      </c>
      <c r="J429" s="52" t="s">
        <v>257</v>
      </c>
      <c r="K429" s="53">
        <v>52296</v>
      </c>
      <c r="L429" s="163">
        <v>5</v>
      </c>
    </row>
    <row r="430" spans="1:12" x14ac:dyDescent="0.25">
      <c r="A430" s="158" t="s">
        <v>513</v>
      </c>
      <c r="B430" s="158" t="s">
        <v>705</v>
      </c>
      <c r="C430" s="168" t="s">
        <v>280</v>
      </c>
      <c r="D430" s="167">
        <v>9193199265</v>
      </c>
      <c r="E430" s="166">
        <v>577239513</v>
      </c>
      <c r="F430" s="158" t="s">
        <v>256</v>
      </c>
      <c r="G430" s="165">
        <v>35861</v>
      </c>
      <c r="H430" s="51">
        <f t="shared" ca="1" si="12"/>
        <v>18</v>
      </c>
      <c r="I430" s="164" t="str">
        <f t="shared" si="13"/>
        <v>March</v>
      </c>
      <c r="J430" s="52" t="s">
        <v>283</v>
      </c>
      <c r="K430" s="53">
        <v>75696</v>
      </c>
      <c r="L430" s="163">
        <v>5</v>
      </c>
    </row>
    <row r="431" spans="1:12" x14ac:dyDescent="0.25">
      <c r="A431" s="158" t="s">
        <v>950</v>
      </c>
      <c r="B431" s="158" t="s">
        <v>705</v>
      </c>
      <c r="C431" s="168" t="s">
        <v>245</v>
      </c>
      <c r="D431" s="167">
        <v>2528627048</v>
      </c>
      <c r="E431" s="166">
        <v>724193735</v>
      </c>
      <c r="F431" s="158" t="s">
        <v>256</v>
      </c>
      <c r="G431" s="165">
        <v>34348</v>
      </c>
      <c r="H431" s="51">
        <f t="shared" ca="1" si="12"/>
        <v>22</v>
      </c>
      <c r="I431" s="164" t="str">
        <f t="shared" si="13"/>
        <v>January</v>
      </c>
      <c r="J431" s="52" t="s">
        <v>283</v>
      </c>
      <c r="K431" s="53">
        <v>51828</v>
      </c>
      <c r="L431" s="163">
        <v>2</v>
      </c>
    </row>
    <row r="432" spans="1:12" x14ac:dyDescent="0.25">
      <c r="A432" s="158" t="s">
        <v>952</v>
      </c>
      <c r="B432" s="158" t="s">
        <v>705</v>
      </c>
      <c r="C432" s="168" t="s">
        <v>266</v>
      </c>
      <c r="D432" s="167">
        <v>9197312659</v>
      </c>
      <c r="E432" s="166">
        <v>297806507</v>
      </c>
      <c r="F432" s="158" t="s">
        <v>256</v>
      </c>
      <c r="G432" s="165">
        <v>35468</v>
      </c>
      <c r="H432" s="51">
        <f t="shared" ca="1" si="12"/>
        <v>19</v>
      </c>
      <c r="I432" s="164" t="str">
        <f t="shared" si="13"/>
        <v>February</v>
      </c>
      <c r="J432" s="52" t="s">
        <v>267</v>
      </c>
      <c r="K432" s="53">
        <v>93408</v>
      </c>
      <c r="L432" s="163">
        <v>2</v>
      </c>
    </row>
    <row r="433" spans="1:12" x14ac:dyDescent="0.25">
      <c r="A433" s="158" t="s">
        <v>384</v>
      </c>
      <c r="B433" s="158" t="s">
        <v>705</v>
      </c>
      <c r="C433" s="168" t="s">
        <v>271</v>
      </c>
      <c r="D433" s="167">
        <v>9195512521</v>
      </c>
      <c r="E433" s="166">
        <v>839899522</v>
      </c>
      <c r="F433" s="158" t="s">
        <v>256</v>
      </c>
      <c r="G433" s="165">
        <v>36697</v>
      </c>
      <c r="H433" s="51">
        <f t="shared" ca="1" si="12"/>
        <v>16</v>
      </c>
      <c r="I433" s="164" t="str">
        <f t="shared" si="13"/>
        <v>June</v>
      </c>
      <c r="J433" s="52" t="s">
        <v>257</v>
      </c>
      <c r="K433" s="53">
        <v>89436</v>
      </c>
      <c r="L433" s="163">
        <v>5</v>
      </c>
    </row>
    <row r="434" spans="1:12" x14ac:dyDescent="0.25">
      <c r="A434" s="158" t="s">
        <v>806</v>
      </c>
      <c r="B434" s="158" t="s">
        <v>705</v>
      </c>
      <c r="C434" s="168" t="s">
        <v>285</v>
      </c>
      <c r="D434" s="167">
        <v>2521658481</v>
      </c>
      <c r="E434" s="166">
        <v>489013842</v>
      </c>
      <c r="F434" s="158" t="s">
        <v>261</v>
      </c>
      <c r="G434" s="165">
        <v>37423</v>
      </c>
      <c r="H434" s="51">
        <f t="shared" ca="1" si="12"/>
        <v>14</v>
      </c>
      <c r="I434" s="164" t="str">
        <f t="shared" si="13"/>
        <v>June</v>
      </c>
      <c r="J434" s="52" t="s">
        <v>283</v>
      </c>
      <c r="K434" s="53">
        <v>34806</v>
      </c>
      <c r="L434" s="163">
        <v>1</v>
      </c>
    </row>
    <row r="435" spans="1:12" x14ac:dyDescent="0.25">
      <c r="A435" s="158" t="s">
        <v>529</v>
      </c>
      <c r="B435" s="158" t="s">
        <v>705</v>
      </c>
      <c r="C435" s="168" t="s">
        <v>280</v>
      </c>
      <c r="D435" s="167">
        <v>2521780498</v>
      </c>
      <c r="E435" s="166">
        <v>213741822</v>
      </c>
      <c r="F435" s="158" t="s">
        <v>247</v>
      </c>
      <c r="G435" s="165">
        <v>36649</v>
      </c>
      <c r="H435" s="51">
        <f t="shared" ca="1" si="12"/>
        <v>16</v>
      </c>
      <c r="I435" s="164" t="str">
        <f t="shared" si="13"/>
        <v>May</v>
      </c>
      <c r="J435" s="52"/>
      <c r="K435" s="53">
        <v>75996</v>
      </c>
      <c r="L435" s="163">
        <v>4</v>
      </c>
    </row>
    <row r="436" spans="1:12" x14ac:dyDescent="0.25">
      <c r="A436" s="158" t="s">
        <v>888</v>
      </c>
      <c r="B436" s="158" t="s">
        <v>705</v>
      </c>
      <c r="C436" s="168" t="s">
        <v>245</v>
      </c>
      <c r="D436" s="167">
        <v>2525236892</v>
      </c>
      <c r="E436" s="166">
        <v>972791650</v>
      </c>
      <c r="F436" s="158" t="s">
        <v>261</v>
      </c>
      <c r="G436" s="165">
        <v>38198</v>
      </c>
      <c r="H436" s="51">
        <f t="shared" ca="1" si="12"/>
        <v>12</v>
      </c>
      <c r="I436" s="164" t="str">
        <f t="shared" si="13"/>
        <v>July</v>
      </c>
      <c r="J436" s="52" t="s">
        <v>257</v>
      </c>
      <c r="K436" s="53">
        <v>40572</v>
      </c>
      <c r="L436" s="163">
        <v>5</v>
      </c>
    </row>
    <row r="437" spans="1:12" x14ac:dyDescent="0.25">
      <c r="A437" s="158" t="s">
        <v>331</v>
      </c>
      <c r="B437" s="158" t="s">
        <v>705</v>
      </c>
      <c r="C437" s="168" t="s">
        <v>251</v>
      </c>
      <c r="D437" s="167">
        <v>2525796953</v>
      </c>
      <c r="E437" s="166">
        <v>551132018</v>
      </c>
      <c r="F437" s="158" t="s">
        <v>256</v>
      </c>
      <c r="G437" s="165">
        <v>41098</v>
      </c>
      <c r="H437" s="51">
        <f t="shared" ca="1" si="12"/>
        <v>4</v>
      </c>
      <c r="I437" s="164" t="str">
        <f t="shared" si="13"/>
        <v>July</v>
      </c>
      <c r="J437" s="52" t="s">
        <v>257</v>
      </c>
      <c r="K437" s="53">
        <v>80208</v>
      </c>
      <c r="L437" s="163">
        <v>4</v>
      </c>
    </row>
    <row r="438" spans="1:12" x14ac:dyDescent="0.25">
      <c r="A438" s="158" t="s">
        <v>892</v>
      </c>
      <c r="B438" s="158" t="s">
        <v>705</v>
      </c>
      <c r="C438" s="168" t="s">
        <v>285</v>
      </c>
      <c r="D438" s="167">
        <v>2525048978</v>
      </c>
      <c r="E438" s="166">
        <v>868128171</v>
      </c>
      <c r="F438" s="158" t="s">
        <v>256</v>
      </c>
      <c r="G438" s="165">
        <v>34606</v>
      </c>
      <c r="H438" s="51">
        <f t="shared" ca="1" si="12"/>
        <v>22</v>
      </c>
      <c r="I438" s="164" t="str">
        <f t="shared" si="13"/>
        <v>September</v>
      </c>
      <c r="J438" s="52" t="s">
        <v>276</v>
      </c>
      <c r="K438" s="53">
        <v>90444</v>
      </c>
      <c r="L438" s="163">
        <v>2</v>
      </c>
    </row>
    <row r="439" spans="1:12" x14ac:dyDescent="0.25">
      <c r="A439" s="158" t="s">
        <v>535</v>
      </c>
      <c r="B439" s="158" t="s">
        <v>705</v>
      </c>
      <c r="C439" s="168" t="s">
        <v>266</v>
      </c>
      <c r="D439" s="167">
        <v>9198624601</v>
      </c>
      <c r="E439" s="166">
        <v>443238477</v>
      </c>
      <c r="F439" s="158" t="s">
        <v>256</v>
      </c>
      <c r="G439" s="165">
        <v>40406</v>
      </c>
      <c r="H439" s="51">
        <f t="shared" ca="1" si="12"/>
        <v>6</v>
      </c>
      <c r="I439" s="164" t="str">
        <f t="shared" si="13"/>
        <v>August</v>
      </c>
      <c r="J439" s="52" t="s">
        <v>283</v>
      </c>
      <c r="K439" s="53">
        <v>96108</v>
      </c>
      <c r="L439" s="163">
        <v>2</v>
      </c>
    </row>
    <row r="440" spans="1:12" x14ac:dyDescent="0.25">
      <c r="A440" s="158" t="s">
        <v>646</v>
      </c>
      <c r="B440" s="158" t="s">
        <v>705</v>
      </c>
      <c r="C440" s="168" t="s">
        <v>280</v>
      </c>
      <c r="D440" s="167">
        <v>2522172913</v>
      </c>
      <c r="E440" s="166">
        <v>542214575</v>
      </c>
      <c r="F440" s="158" t="s">
        <v>256</v>
      </c>
      <c r="G440" s="165">
        <v>35430</v>
      </c>
      <c r="H440" s="51">
        <f t="shared" ca="1" si="12"/>
        <v>19</v>
      </c>
      <c r="I440" s="164" t="str">
        <f t="shared" si="13"/>
        <v>December</v>
      </c>
      <c r="J440" s="52" t="s">
        <v>257</v>
      </c>
      <c r="K440" s="53">
        <v>104436</v>
      </c>
      <c r="L440" s="163">
        <v>3</v>
      </c>
    </row>
    <row r="441" spans="1:12" x14ac:dyDescent="0.25">
      <c r="A441" s="158" t="s">
        <v>973</v>
      </c>
      <c r="B441" s="158" t="s">
        <v>705</v>
      </c>
      <c r="C441" s="168" t="s">
        <v>280</v>
      </c>
      <c r="D441" s="167">
        <v>2525866679</v>
      </c>
      <c r="E441" s="166">
        <v>291803431</v>
      </c>
      <c r="F441" s="158" t="s">
        <v>247</v>
      </c>
      <c r="G441" s="165">
        <v>40511</v>
      </c>
      <c r="H441" s="51">
        <f t="shared" ca="1" si="12"/>
        <v>5</v>
      </c>
      <c r="I441" s="164" t="str">
        <f t="shared" si="13"/>
        <v>November</v>
      </c>
      <c r="J441" s="52"/>
      <c r="K441" s="53">
        <v>64800</v>
      </c>
      <c r="L441" s="163">
        <v>3</v>
      </c>
    </row>
    <row r="442" spans="1:12" x14ac:dyDescent="0.25">
      <c r="A442" s="158" t="s">
        <v>688</v>
      </c>
      <c r="B442" s="158" t="s">
        <v>705</v>
      </c>
      <c r="C442" s="168" t="s">
        <v>271</v>
      </c>
      <c r="D442" s="167">
        <v>2526007063</v>
      </c>
      <c r="E442" s="166">
        <v>972086665</v>
      </c>
      <c r="F442" s="158" t="s">
        <v>256</v>
      </c>
      <c r="G442" s="165">
        <v>38955</v>
      </c>
      <c r="H442" s="51">
        <f t="shared" ca="1" si="12"/>
        <v>10</v>
      </c>
      <c r="I442" s="164" t="str">
        <f t="shared" si="13"/>
        <v>August</v>
      </c>
      <c r="J442" s="52" t="s">
        <v>283</v>
      </c>
      <c r="K442" s="53">
        <v>103440</v>
      </c>
      <c r="L442" s="163">
        <v>3</v>
      </c>
    </row>
    <row r="443" spans="1:12" x14ac:dyDescent="0.25">
      <c r="A443" s="158" t="s">
        <v>398</v>
      </c>
      <c r="B443" s="158" t="s">
        <v>705</v>
      </c>
      <c r="C443" s="168" t="s">
        <v>245</v>
      </c>
      <c r="D443" s="167">
        <v>9192602559</v>
      </c>
      <c r="E443" s="166">
        <v>623823805</v>
      </c>
      <c r="F443" s="158" t="s">
        <v>252</v>
      </c>
      <c r="G443" s="165">
        <v>41131</v>
      </c>
      <c r="H443" s="51">
        <f t="shared" ca="1" si="12"/>
        <v>4</v>
      </c>
      <c r="I443" s="164" t="str">
        <f t="shared" si="13"/>
        <v>August</v>
      </c>
      <c r="J443" s="52"/>
      <c r="K443" s="53">
        <v>18067</v>
      </c>
      <c r="L443" s="163">
        <v>5</v>
      </c>
    </row>
    <row r="444" spans="1:12" x14ac:dyDescent="0.25">
      <c r="A444" s="158" t="s">
        <v>991</v>
      </c>
      <c r="B444" s="158" t="s">
        <v>705</v>
      </c>
      <c r="C444" s="168" t="s">
        <v>251</v>
      </c>
      <c r="D444" s="167">
        <v>2528359862</v>
      </c>
      <c r="E444" s="166">
        <v>711445298</v>
      </c>
      <c r="F444" s="158" t="s">
        <v>247</v>
      </c>
      <c r="G444" s="165">
        <v>41348</v>
      </c>
      <c r="H444" s="51">
        <f t="shared" ca="1" si="12"/>
        <v>3</v>
      </c>
      <c r="I444" s="164" t="str">
        <f t="shared" si="13"/>
        <v>March</v>
      </c>
      <c r="J444" s="52"/>
      <c r="K444" s="53">
        <v>101160</v>
      </c>
      <c r="L444" s="163">
        <v>1</v>
      </c>
    </row>
    <row r="445" spans="1:12" x14ac:dyDescent="0.25">
      <c r="A445" s="158" t="s">
        <v>998</v>
      </c>
      <c r="B445" s="158" t="s">
        <v>705</v>
      </c>
      <c r="C445" s="168" t="s">
        <v>285</v>
      </c>
      <c r="D445" s="167">
        <v>2525227751</v>
      </c>
      <c r="E445" s="166">
        <v>145240921</v>
      </c>
      <c r="F445" s="158" t="s">
        <v>256</v>
      </c>
      <c r="G445" s="165">
        <v>40132</v>
      </c>
      <c r="H445" s="51">
        <f t="shared" ca="1" si="12"/>
        <v>7</v>
      </c>
      <c r="I445" s="164" t="str">
        <f t="shared" si="13"/>
        <v>November</v>
      </c>
      <c r="J445" s="52" t="s">
        <v>267</v>
      </c>
      <c r="K445" s="53">
        <v>61188</v>
      </c>
      <c r="L445" s="163">
        <v>4</v>
      </c>
    </row>
    <row r="446" spans="1:12" x14ac:dyDescent="0.25">
      <c r="A446" s="158" t="s">
        <v>736</v>
      </c>
      <c r="B446" s="158" t="s">
        <v>705</v>
      </c>
      <c r="C446" s="168" t="s">
        <v>285</v>
      </c>
      <c r="D446" s="167">
        <v>2523575849</v>
      </c>
      <c r="E446" s="166">
        <v>365499498</v>
      </c>
      <c r="F446" s="158" t="s">
        <v>256</v>
      </c>
      <c r="G446" s="165">
        <v>39535</v>
      </c>
      <c r="H446" s="51">
        <f t="shared" ca="1" si="12"/>
        <v>8</v>
      </c>
      <c r="I446" s="164" t="str">
        <f t="shared" si="13"/>
        <v>March</v>
      </c>
      <c r="J446" s="52" t="s">
        <v>257</v>
      </c>
      <c r="K446" s="53">
        <v>56472</v>
      </c>
      <c r="L446" s="163">
        <v>4</v>
      </c>
    </row>
    <row r="447" spans="1:12" x14ac:dyDescent="0.25">
      <c r="A447" s="158" t="s">
        <v>443</v>
      </c>
      <c r="B447" s="158" t="s">
        <v>705</v>
      </c>
      <c r="C447" s="168" t="s">
        <v>271</v>
      </c>
      <c r="D447" s="167">
        <v>2526920236</v>
      </c>
      <c r="E447" s="166">
        <v>803776506</v>
      </c>
      <c r="F447" s="158" t="s">
        <v>256</v>
      </c>
      <c r="G447" s="165">
        <v>36140</v>
      </c>
      <c r="H447" s="51">
        <f t="shared" ca="1" si="12"/>
        <v>17</v>
      </c>
      <c r="I447" s="164" t="str">
        <f t="shared" si="13"/>
        <v>December</v>
      </c>
      <c r="J447" s="52" t="s">
        <v>262</v>
      </c>
      <c r="K447" s="53">
        <v>93540</v>
      </c>
      <c r="L447" s="163">
        <v>4</v>
      </c>
    </row>
    <row r="448" spans="1:12" x14ac:dyDescent="0.25">
      <c r="A448" s="158" t="s">
        <v>830</v>
      </c>
      <c r="B448" s="158" t="s">
        <v>705</v>
      </c>
      <c r="C448" s="168" t="s">
        <v>285</v>
      </c>
      <c r="D448" s="167">
        <v>9193957018</v>
      </c>
      <c r="E448" s="166">
        <v>881242432</v>
      </c>
      <c r="F448" s="158" t="s">
        <v>256</v>
      </c>
      <c r="G448" s="165">
        <v>34656</v>
      </c>
      <c r="H448" s="51">
        <f t="shared" ca="1" si="12"/>
        <v>21</v>
      </c>
      <c r="I448" s="164" t="str">
        <f t="shared" si="13"/>
        <v>November</v>
      </c>
      <c r="J448" s="52" t="s">
        <v>262</v>
      </c>
      <c r="K448" s="53">
        <v>81612</v>
      </c>
      <c r="L448" s="163">
        <v>1</v>
      </c>
    </row>
    <row r="449" spans="1:12" x14ac:dyDescent="0.25">
      <c r="A449" s="158" t="s">
        <v>1001</v>
      </c>
      <c r="B449" s="158" t="s">
        <v>705</v>
      </c>
      <c r="C449" s="168" t="s">
        <v>251</v>
      </c>
      <c r="D449" s="167">
        <v>2528651774</v>
      </c>
      <c r="E449" s="166">
        <v>302854692</v>
      </c>
      <c r="F449" s="158" t="s">
        <v>261</v>
      </c>
      <c r="G449" s="165">
        <v>35345</v>
      </c>
      <c r="H449" s="51">
        <f t="shared" ca="1" si="12"/>
        <v>20</v>
      </c>
      <c r="I449" s="164" t="str">
        <f t="shared" si="13"/>
        <v>October</v>
      </c>
      <c r="J449" s="52" t="s">
        <v>257</v>
      </c>
      <c r="K449" s="53">
        <v>16122</v>
      </c>
      <c r="L449" s="163">
        <v>1</v>
      </c>
    </row>
    <row r="450" spans="1:12" x14ac:dyDescent="0.25">
      <c r="A450" s="158" t="s">
        <v>1004</v>
      </c>
      <c r="B450" s="158" t="s">
        <v>705</v>
      </c>
      <c r="C450" s="168" t="s">
        <v>285</v>
      </c>
      <c r="D450" s="167">
        <v>2521711684</v>
      </c>
      <c r="E450" s="166">
        <v>248820119</v>
      </c>
      <c r="F450" s="158" t="s">
        <v>256</v>
      </c>
      <c r="G450" s="165">
        <v>36631</v>
      </c>
      <c r="H450" s="51">
        <f t="shared" ref="H450:H513" ca="1" si="14">DATEDIF(G450,TODAY(),"Y")</f>
        <v>16</v>
      </c>
      <c r="I450" s="164" t="str">
        <f t="shared" ref="I450:I513" si="15">CHOOSE(MONTH(G450),"January","February","March","April","May","June","July","August","September","October","November","December")</f>
        <v>April</v>
      </c>
      <c r="J450" s="52" t="s">
        <v>257</v>
      </c>
      <c r="K450" s="53">
        <v>82224</v>
      </c>
      <c r="L450" s="163">
        <v>5</v>
      </c>
    </row>
    <row r="451" spans="1:12" x14ac:dyDescent="0.25">
      <c r="A451" s="158" t="s">
        <v>914</v>
      </c>
      <c r="B451" s="158" t="s">
        <v>705</v>
      </c>
      <c r="C451" s="168" t="s">
        <v>245</v>
      </c>
      <c r="D451" s="167">
        <v>9193640748</v>
      </c>
      <c r="E451" s="166">
        <v>869524136</v>
      </c>
      <c r="F451" s="158" t="s">
        <v>256</v>
      </c>
      <c r="G451" s="165">
        <v>36067</v>
      </c>
      <c r="H451" s="51">
        <f t="shared" ca="1" si="14"/>
        <v>18</v>
      </c>
      <c r="I451" s="164" t="str">
        <f t="shared" si="15"/>
        <v>September</v>
      </c>
      <c r="J451" s="52" t="s">
        <v>283</v>
      </c>
      <c r="K451" s="53">
        <v>52092</v>
      </c>
      <c r="L451" s="163">
        <v>1</v>
      </c>
    </row>
    <row r="452" spans="1:12" x14ac:dyDescent="0.25">
      <c r="A452" s="158" t="s">
        <v>408</v>
      </c>
      <c r="B452" s="158" t="s">
        <v>705</v>
      </c>
      <c r="C452" s="168" t="s">
        <v>271</v>
      </c>
      <c r="D452" s="167">
        <v>9195520461</v>
      </c>
      <c r="E452" s="166">
        <v>816607187</v>
      </c>
      <c r="F452" s="158" t="s">
        <v>252</v>
      </c>
      <c r="G452" s="165">
        <v>41180</v>
      </c>
      <c r="H452" s="51">
        <f t="shared" ca="1" si="14"/>
        <v>4</v>
      </c>
      <c r="I452" s="164" t="str">
        <f t="shared" si="15"/>
        <v>September</v>
      </c>
      <c r="J452" s="52"/>
      <c r="K452" s="53">
        <v>11016</v>
      </c>
      <c r="L452" s="163">
        <v>3</v>
      </c>
    </row>
    <row r="453" spans="1:12" x14ac:dyDescent="0.25">
      <c r="A453" s="158" t="s">
        <v>600</v>
      </c>
      <c r="B453" s="158" t="s">
        <v>705</v>
      </c>
      <c r="C453" s="168" t="s">
        <v>245</v>
      </c>
      <c r="D453" s="167">
        <v>2522881600</v>
      </c>
      <c r="E453" s="166">
        <v>847051774</v>
      </c>
      <c r="F453" s="158" t="s">
        <v>256</v>
      </c>
      <c r="G453" s="165">
        <v>40385</v>
      </c>
      <c r="H453" s="51">
        <f t="shared" ca="1" si="14"/>
        <v>6</v>
      </c>
      <c r="I453" s="164" t="str">
        <f t="shared" si="15"/>
        <v>July</v>
      </c>
      <c r="J453" s="52" t="s">
        <v>276</v>
      </c>
      <c r="K453" s="53">
        <v>97056</v>
      </c>
      <c r="L453" s="163">
        <v>1</v>
      </c>
    </row>
    <row r="454" spans="1:12" x14ac:dyDescent="0.25">
      <c r="A454" s="169" t="s">
        <v>260</v>
      </c>
      <c r="B454" s="158" t="s">
        <v>705</v>
      </c>
      <c r="C454" s="168" t="s">
        <v>285</v>
      </c>
      <c r="D454" s="167">
        <v>9194629606</v>
      </c>
      <c r="E454" s="166">
        <v>619465100</v>
      </c>
      <c r="F454" s="158" t="s">
        <v>256</v>
      </c>
      <c r="G454" s="165">
        <v>39644</v>
      </c>
      <c r="H454" s="51">
        <f t="shared" ca="1" si="14"/>
        <v>8</v>
      </c>
      <c r="I454" s="164" t="str">
        <f t="shared" si="15"/>
        <v>July</v>
      </c>
      <c r="J454" s="52" t="s">
        <v>262</v>
      </c>
      <c r="K454" s="53">
        <v>33072</v>
      </c>
      <c r="L454" s="163">
        <v>2</v>
      </c>
    </row>
    <row r="455" spans="1:12" x14ac:dyDescent="0.25">
      <c r="A455" s="158" t="s">
        <v>606</v>
      </c>
      <c r="B455" s="158" t="s">
        <v>705</v>
      </c>
      <c r="C455" s="168" t="s">
        <v>285</v>
      </c>
      <c r="D455" s="167">
        <v>2525780571</v>
      </c>
      <c r="E455" s="166">
        <v>210173249</v>
      </c>
      <c r="F455" s="158" t="s">
        <v>247</v>
      </c>
      <c r="G455" s="165">
        <v>34539</v>
      </c>
      <c r="H455" s="51">
        <f t="shared" ca="1" si="14"/>
        <v>22</v>
      </c>
      <c r="I455" s="164" t="str">
        <f t="shared" si="15"/>
        <v>July</v>
      </c>
      <c r="J455" s="52"/>
      <c r="K455" s="53">
        <v>39180</v>
      </c>
      <c r="L455" s="163">
        <v>1</v>
      </c>
    </row>
    <row r="456" spans="1:12" x14ac:dyDescent="0.25">
      <c r="A456" s="158" t="s">
        <v>451</v>
      </c>
      <c r="B456" s="158" t="s">
        <v>705</v>
      </c>
      <c r="C456" s="168" t="s">
        <v>285</v>
      </c>
      <c r="D456" s="167">
        <v>2524618773</v>
      </c>
      <c r="E456" s="166">
        <v>555718765</v>
      </c>
      <c r="F456" s="158" t="s">
        <v>256</v>
      </c>
      <c r="G456" s="165">
        <v>40213</v>
      </c>
      <c r="H456" s="51">
        <f t="shared" ca="1" si="14"/>
        <v>6</v>
      </c>
      <c r="I456" s="164" t="str">
        <f t="shared" si="15"/>
        <v>February</v>
      </c>
      <c r="J456" s="52" t="s">
        <v>257</v>
      </c>
      <c r="K456" s="53">
        <v>106620</v>
      </c>
      <c r="L456" s="163">
        <v>3</v>
      </c>
    </row>
    <row r="457" spans="1:12" x14ac:dyDescent="0.25">
      <c r="A457" s="158" t="s">
        <v>846</v>
      </c>
      <c r="B457" s="158" t="s">
        <v>705</v>
      </c>
      <c r="C457" s="168" t="s">
        <v>266</v>
      </c>
      <c r="D457" s="167">
        <v>9196012031</v>
      </c>
      <c r="E457" s="166">
        <v>851400058</v>
      </c>
      <c r="F457" s="158" t="s">
        <v>261</v>
      </c>
      <c r="G457" s="165">
        <v>41121</v>
      </c>
      <c r="H457" s="51">
        <f t="shared" ca="1" si="14"/>
        <v>4</v>
      </c>
      <c r="I457" s="164" t="str">
        <f t="shared" si="15"/>
        <v>July</v>
      </c>
      <c r="J457" s="52" t="s">
        <v>257</v>
      </c>
      <c r="K457" s="53">
        <v>20310</v>
      </c>
      <c r="L457" s="163">
        <v>1</v>
      </c>
    </row>
    <row r="458" spans="1:12" x14ac:dyDescent="0.25">
      <c r="A458" s="158" t="s">
        <v>365</v>
      </c>
      <c r="B458" s="158" t="s">
        <v>705</v>
      </c>
      <c r="C458" s="168" t="s">
        <v>271</v>
      </c>
      <c r="D458" s="167">
        <v>9198561612</v>
      </c>
      <c r="E458" s="166">
        <v>150132247</v>
      </c>
      <c r="F458" s="158" t="s">
        <v>256</v>
      </c>
      <c r="G458" s="165">
        <v>34609</v>
      </c>
      <c r="H458" s="51">
        <f t="shared" ca="1" si="14"/>
        <v>22</v>
      </c>
      <c r="I458" s="164" t="str">
        <f t="shared" si="15"/>
        <v>October</v>
      </c>
      <c r="J458" s="52" t="s">
        <v>276</v>
      </c>
      <c r="K458" s="53">
        <v>56292</v>
      </c>
      <c r="L458" s="163">
        <v>3</v>
      </c>
    </row>
    <row r="459" spans="1:12" x14ac:dyDescent="0.25">
      <c r="A459" s="158" t="s">
        <v>849</v>
      </c>
      <c r="B459" s="158" t="s">
        <v>705</v>
      </c>
      <c r="C459" s="168" t="s">
        <v>285</v>
      </c>
      <c r="D459" s="167">
        <v>9196132408</v>
      </c>
      <c r="E459" s="166">
        <v>474117484</v>
      </c>
      <c r="F459" s="158" t="s">
        <v>256</v>
      </c>
      <c r="G459" s="165">
        <v>34370</v>
      </c>
      <c r="H459" s="51">
        <f t="shared" ca="1" si="14"/>
        <v>22</v>
      </c>
      <c r="I459" s="164" t="str">
        <f t="shared" si="15"/>
        <v>February</v>
      </c>
      <c r="J459" s="52" t="s">
        <v>257</v>
      </c>
      <c r="K459" s="53">
        <v>95724</v>
      </c>
      <c r="L459" s="163">
        <v>4</v>
      </c>
    </row>
    <row r="460" spans="1:12" x14ac:dyDescent="0.25">
      <c r="A460" s="158" t="s">
        <v>928</v>
      </c>
      <c r="B460" s="158" t="s">
        <v>705</v>
      </c>
      <c r="C460" s="168" t="s">
        <v>271</v>
      </c>
      <c r="D460" s="167">
        <v>9197430732</v>
      </c>
      <c r="E460" s="166">
        <v>948252103</v>
      </c>
      <c r="F460" s="158" t="s">
        <v>252</v>
      </c>
      <c r="G460" s="165">
        <v>37057</v>
      </c>
      <c r="H460" s="51">
        <f t="shared" ca="1" si="14"/>
        <v>15</v>
      </c>
      <c r="I460" s="164" t="str">
        <f t="shared" si="15"/>
        <v>June</v>
      </c>
      <c r="J460" s="52"/>
      <c r="K460" s="53">
        <v>47717</v>
      </c>
      <c r="L460" s="163">
        <v>1</v>
      </c>
    </row>
    <row r="461" spans="1:12" x14ac:dyDescent="0.25">
      <c r="A461" s="158" t="s">
        <v>453</v>
      </c>
      <c r="B461" s="158" t="s">
        <v>705</v>
      </c>
      <c r="C461" s="168" t="s">
        <v>271</v>
      </c>
      <c r="D461" s="167">
        <v>2525981242</v>
      </c>
      <c r="E461" s="166">
        <v>934447306</v>
      </c>
      <c r="F461" s="158" t="s">
        <v>256</v>
      </c>
      <c r="G461" s="165">
        <v>34839</v>
      </c>
      <c r="H461" s="51">
        <f t="shared" ca="1" si="14"/>
        <v>21</v>
      </c>
      <c r="I461" s="164" t="str">
        <f t="shared" si="15"/>
        <v>May</v>
      </c>
      <c r="J461" s="52" t="s">
        <v>283</v>
      </c>
      <c r="K461" s="53">
        <v>87636</v>
      </c>
      <c r="L461" s="163">
        <v>5</v>
      </c>
    </row>
    <row r="462" spans="1:12" x14ac:dyDescent="0.25">
      <c r="A462" s="158" t="s">
        <v>855</v>
      </c>
      <c r="B462" s="158" t="s">
        <v>750</v>
      </c>
      <c r="C462" s="168" t="s">
        <v>266</v>
      </c>
      <c r="D462" s="167">
        <v>9198472270</v>
      </c>
      <c r="E462" s="166">
        <v>834061135</v>
      </c>
      <c r="F462" s="158" t="s">
        <v>256</v>
      </c>
      <c r="G462" s="165">
        <v>34241</v>
      </c>
      <c r="H462" s="51">
        <f t="shared" ca="1" si="14"/>
        <v>23</v>
      </c>
      <c r="I462" s="164" t="str">
        <f t="shared" si="15"/>
        <v>September</v>
      </c>
      <c r="J462" s="52" t="s">
        <v>267</v>
      </c>
      <c r="K462" s="53">
        <v>53472</v>
      </c>
      <c r="L462" s="163">
        <v>2</v>
      </c>
    </row>
    <row r="463" spans="1:12" x14ac:dyDescent="0.25">
      <c r="A463" s="158" t="s">
        <v>416</v>
      </c>
      <c r="B463" s="158" t="s">
        <v>750</v>
      </c>
      <c r="C463" s="168" t="s">
        <v>271</v>
      </c>
      <c r="D463" s="167">
        <v>2522456406</v>
      </c>
      <c r="E463" s="166">
        <v>444159297</v>
      </c>
      <c r="F463" s="158" t="s">
        <v>256</v>
      </c>
      <c r="G463" s="165">
        <v>34264</v>
      </c>
      <c r="H463" s="51">
        <f t="shared" ca="1" si="14"/>
        <v>23</v>
      </c>
      <c r="I463" s="164" t="str">
        <f t="shared" si="15"/>
        <v>October</v>
      </c>
      <c r="J463" s="52" t="s">
        <v>257</v>
      </c>
      <c r="K463" s="53">
        <v>97836</v>
      </c>
      <c r="L463" s="163">
        <v>5</v>
      </c>
    </row>
    <row r="464" spans="1:12" x14ac:dyDescent="0.25">
      <c r="A464" s="158" t="s">
        <v>937</v>
      </c>
      <c r="B464" s="158" t="s">
        <v>750</v>
      </c>
      <c r="C464" s="168" t="s">
        <v>271</v>
      </c>
      <c r="D464" s="167">
        <v>9191876990</v>
      </c>
      <c r="E464" s="166">
        <v>904790184</v>
      </c>
      <c r="F464" s="158" t="s">
        <v>256</v>
      </c>
      <c r="G464" s="165">
        <v>34188</v>
      </c>
      <c r="H464" s="51">
        <f t="shared" ca="1" si="14"/>
        <v>23</v>
      </c>
      <c r="I464" s="164" t="str">
        <f t="shared" si="15"/>
        <v>August</v>
      </c>
      <c r="J464" s="52" t="s">
        <v>283</v>
      </c>
      <c r="K464" s="53">
        <v>93264</v>
      </c>
      <c r="L464" s="163">
        <v>3</v>
      </c>
    </row>
    <row r="465" spans="1:12" x14ac:dyDescent="0.25">
      <c r="A465" s="158" t="s">
        <v>631</v>
      </c>
      <c r="B465" s="158" t="s">
        <v>750</v>
      </c>
      <c r="C465" s="168" t="s">
        <v>251</v>
      </c>
      <c r="D465" s="167">
        <v>9195012757</v>
      </c>
      <c r="E465" s="166">
        <v>264960848</v>
      </c>
      <c r="F465" s="158" t="s">
        <v>247</v>
      </c>
      <c r="G465" s="165">
        <v>34014</v>
      </c>
      <c r="H465" s="51">
        <f t="shared" ca="1" si="14"/>
        <v>23</v>
      </c>
      <c r="I465" s="164" t="str">
        <f t="shared" si="15"/>
        <v>February</v>
      </c>
      <c r="J465" s="52"/>
      <c r="K465" s="53">
        <v>58884</v>
      </c>
      <c r="L465" s="163">
        <v>3</v>
      </c>
    </row>
    <row r="466" spans="1:12" x14ac:dyDescent="0.25">
      <c r="A466" s="158" t="s">
        <v>317</v>
      </c>
      <c r="B466" s="158" t="s">
        <v>750</v>
      </c>
      <c r="C466" s="168" t="s">
        <v>271</v>
      </c>
      <c r="D466" s="167">
        <v>2522581491</v>
      </c>
      <c r="E466" s="166">
        <v>763518183</v>
      </c>
      <c r="F466" s="158" t="s">
        <v>256</v>
      </c>
      <c r="G466" s="165">
        <v>34168</v>
      </c>
      <c r="H466" s="51">
        <f t="shared" ca="1" si="14"/>
        <v>23</v>
      </c>
      <c r="I466" s="164" t="str">
        <f t="shared" si="15"/>
        <v>July</v>
      </c>
      <c r="J466" s="52" t="s">
        <v>257</v>
      </c>
      <c r="K466" s="53">
        <v>83280</v>
      </c>
      <c r="L466" s="163">
        <v>5</v>
      </c>
    </row>
    <row r="467" spans="1:12" x14ac:dyDescent="0.25">
      <c r="A467" s="158" t="s">
        <v>956</v>
      </c>
      <c r="B467" s="158" t="s">
        <v>750</v>
      </c>
      <c r="C467" s="168" t="s">
        <v>285</v>
      </c>
      <c r="D467" s="167">
        <v>9195506190</v>
      </c>
      <c r="E467" s="166">
        <v>852430023</v>
      </c>
      <c r="F467" s="158" t="s">
        <v>261</v>
      </c>
      <c r="G467" s="165">
        <v>33840</v>
      </c>
      <c r="H467" s="51">
        <f t="shared" ca="1" si="14"/>
        <v>24</v>
      </c>
      <c r="I467" s="164" t="str">
        <f t="shared" si="15"/>
        <v>August</v>
      </c>
      <c r="J467" s="52" t="s">
        <v>267</v>
      </c>
      <c r="K467" s="53">
        <v>29778</v>
      </c>
      <c r="L467" s="163">
        <v>1</v>
      </c>
    </row>
    <row r="468" spans="1:12" x14ac:dyDescent="0.25">
      <c r="A468" s="158" t="s">
        <v>957</v>
      </c>
      <c r="B468" s="158" t="s">
        <v>750</v>
      </c>
      <c r="C468" s="168" t="s">
        <v>271</v>
      </c>
      <c r="D468" s="167">
        <v>2525536623</v>
      </c>
      <c r="E468" s="166">
        <v>134557291</v>
      </c>
      <c r="F468" s="158" t="s">
        <v>256</v>
      </c>
      <c r="G468" s="165">
        <v>33841</v>
      </c>
      <c r="H468" s="51">
        <f t="shared" ca="1" si="14"/>
        <v>24</v>
      </c>
      <c r="I468" s="164" t="str">
        <f t="shared" si="15"/>
        <v>August</v>
      </c>
      <c r="J468" s="52" t="s">
        <v>257</v>
      </c>
      <c r="K468" s="53">
        <v>39120</v>
      </c>
      <c r="L468" s="163">
        <v>5</v>
      </c>
    </row>
    <row r="469" spans="1:12" x14ac:dyDescent="0.25">
      <c r="A469" s="158" t="s">
        <v>376</v>
      </c>
      <c r="B469" s="158" t="s">
        <v>750</v>
      </c>
      <c r="C469" s="168" t="s">
        <v>245</v>
      </c>
      <c r="D469" s="167">
        <v>2523766803</v>
      </c>
      <c r="E469" s="166">
        <v>360904659</v>
      </c>
      <c r="F469" s="158" t="s">
        <v>256</v>
      </c>
      <c r="G469" s="165">
        <v>34316</v>
      </c>
      <c r="H469" s="51">
        <f t="shared" ca="1" si="14"/>
        <v>22</v>
      </c>
      <c r="I469" s="164" t="str">
        <f t="shared" si="15"/>
        <v>December</v>
      </c>
      <c r="J469" s="52" t="s">
        <v>283</v>
      </c>
      <c r="K469" s="53">
        <v>53544</v>
      </c>
      <c r="L469" s="163">
        <v>5</v>
      </c>
    </row>
    <row r="470" spans="1:12" x14ac:dyDescent="0.25">
      <c r="A470" s="158" t="s">
        <v>432</v>
      </c>
      <c r="B470" s="158" t="s">
        <v>750</v>
      </c>
      <c r="C470" s="168" t="s">
        <v>245</v>
      </c>
      <c r="D470" s="167">
        <v>2528385730</v>
      </c>
      <c r="E470" s="166">
        <v>671360508</v>
      </c>
      <c r="F470" s="158" t="s">
        <v>261</v>
      </c>
      <c r="G470" s="165">
        <v>33888</v>
      </c>
      <c r="H470" s="51">
        <f t="shared" ca="1" si="14"/>
        <v>24</v>
      </c>
      <c r="I470" s="164" t="str">
        <f t="shared" si="15"/>
        <v>October</v>
      </c>
      <c r="J470" s="52" t="s">
        <v>262</v>
      </c>
      <c r="K470" s="53">
        <v>47544</v>
      </c>
      <c r="L470" s="163">
        <v>5</v>
      </c>
    </row>
    <row r="471" spans="1:12" x14ac:dyDescent="0.25">
      <c r="A471" s="158" t="s">
        <v>433</v>
      </c>
      <c r="B471" s="158" t="s">
        <v>750</v>
      </c>
      <c r="C471" s="168" t="s">
        <v>285</v>
      </c>
      <c r="D471" s="167">
        <v>9195990139</v>
      </c>
      <c r="E471" s="166">
        <v>292693795</v>
      </c>
      <c r="F471" s="158" t="s">
        <v>256</v>
      </c>
      <c r="G471" s="165">
        <v>34008</v>
      </c>
      <c r="H471" s="51">
        <f t="shared" ca="1" si="14"/>
        <v>23</v>
      </c>
      <c r="I471" s="164" t="str">
        <f t="shared" si="15"/>
        <v>February</v>
      </c>
      <c r="J471" s="52" t="s">
        <v>257</v>
      </c>
      <c r="K471" s="53">
        <v>105540</v>
      </c>
      <c r="L471" s="163">
        <v>4</v>
      </c>
    </row>
    <row r="472" spans="1:12" x14ac:dyDescent="0.25">
      <c r="A472" s="158" t="s">
        <v>690</v>
      </c>
      <c r="B472" s="158" t="s">
        <v>750</v>
      </c>
      <c r="C472" s="168" t="s">
        <v>285</v>
      </c>
      <c r="D472" s="167">
        <v>9196733291</v>
      </c>
      <c r="E472" s="166">
        <v>174483231</v>
      </c>
      <c r="F472" s="158" t="s">
        <v>256</v>
      </c>
      <c r="G472" s="165">
        <v>33914</v>
      </c>
      <c r="H472" s="51">
        <f t="shared" ca="1" si="14"/>
        <v>24</v>
      </c>
      <c r="I472" s="164" t="str">
        <f t="shared" si="15"/>
        <v>November</v>
      </c>
      <c r="J472" s="52" t="s">
        <v>257</v>
      </c>
      <c r="K472" s="53">
        <v>49128</v>
      </c>
      <c r="L472" s="163">
        <v>3</v>
      </c>
    </row>
    <row r="473" spans="1:12" x14ac:dyDescent="0.25">
      <c r="A473" s="158" t="s">
        <v>733</v>
      </c>
      <c r="B473" s="158" t="s">
        <v>750</v>
      </c>
      <c r="C473" s="168" t="s">
        <v>285</v>
      </c>
      <c r="D473" s="167">
        <v>9197429525</v>
      </c>
      <c r="E473" s="166">
        <v>219740602</v>
      </c>
      <c r="F473" s="158" t="s">
        <v>261</v>
      </c>
      <c r="G473" s="165">
        <v>34077</v>
      </c>
      <c r="H473" s="51">
        <f t="shared" ca="1" si="14"/>
        <v>23</v>
      </c>
      <c r="I473" s="164" t="str">
        <f t="shared" si="15"/>
        <v>April</v>
      </c>
      <c r="J473" s="52" t="s">
        <v>276</v>
      </c>
      <c r="K473" s="53">
        <v>19218</v>
      </c>
      <c r="L473" s="163">
        <v>3</v>
      </c>
    </row>
    <row r="474" spans="1:12" x14ac:dyDescent="0.25">
      <c r="A474" s="158" t="s">
        <v>580</v>
      </c>
      <c r="B474" s="158" t="s">
        <v>750</v>
      </c>
      <c r="C474" s="168" t="s">
        <v>271</v>
      </c>
      <c r="D474" s="167">
        <v>9196100410</v>
      </c>
      <c r="E474" s="166">
        <v>967826310</v>
      </c>
      <c r="F474" s="158" t="s">
        <v>256</v>
      </c>
      <c r="G474" s="165">
        <v>34048</v>
      </c>
      <c r="H474" s="51">
        <f t="shared" ca="1" si="14"/>
        <v>23</v>
      </c>
      <c r="I474" s="164" t="str">
        <f t="shared" si="15"/>
        <v>March</v>
      </c>
      <c r="J474" s="52" t="s">
        <v>276</v>
      </c>
      <c r="K474" s="53">
        <v>42384</v>
      </c>
      <c r="L474" s="163">
        <v>3</v>
      </c>
    </row>
    <row r="475" spans="1:12" x14ac:dyDescent="0.25">
      <c r="A475" s="158" t="s">
        <v>415</v>
      </c>
      <c r="B475" s="158" t="s">
        <v>750</v>
      </c>
      <c r="C475" s="168" t="s">
        <v>285</v>
      </c>
      <c r="D475" s="167">
        <v>9197904981</v>
      </c>
      <c r="E475" s="166">
        <v>285295419</v>
      </c>
      <c r="F475" s="158" t="s">
        <v>252</v>
      </c>
      <c r="G475" s="165">
        <v>33886</v>
      </c>
      <c r="H475" s="51">
        <f t="shared" ca="1" si="14"/>
        <v>24</v>
      </c>
      <c r="I475" s="164" t="str">
        <f t="shared" si="15"/>
        <v>October</v>
      </c>
      <c r="J475" s="52"/>
      <c r="K475" s="53">
        <v>39878</v>
      </c>
      <c r="L475" s="163">
        <v>4</v>
      </c>
    </row>
    <row r="476" spans="1:12" x14ac:dyDescent="0.25">
      <c r="A476" s="158" t="s">
        <v>667</v>
      </c>
      <c r="B476" s="158" t="s">
        <v>750</v>
      </c>
      <c r="C476" s="168" t="s">
        <v>266</v>
      </c>
      <c r="D476" s="167">
        <v>2526104400</v>
      </c>
      <c r="E476" s="166">
        <v>710460589</v>
      </c>
      <c r="F476" s="158" t="s">
        <v>256</v>
      </c>
      <c r="G476" s="165">
        <v>33907</v>
      </c>
      <c r="H476" s="51">
        <f t="shared" ca="1" si="14"/>
        <v>24</v>
      </c>
      <c r="I476" s="164" t="str">
        <f t="shared" si="15"/>
        <v>October</v>
      </c>
      <c r="J476" s="52" t="s">
        <v>283</v>
      </c>
      <c r="K476" s="53">
        <v>51732</v>
      </c>
      <c r="L476" s="163">
        <v>2</v>
      </c>
    </row>
    <row r="477" spans="1:12" x14ac:dyDescent="0.25">
      <c r="A477" s="158" t="s">
        <v>765</v>
      </c>
      <c r="B477" s="158" t="s">
        <v>750</v>
      </c>
      <c r="C477" s="168" t="s">
        <v>285</v>
      </c>
      <c r="D477" s="170">
        <v>2523355100</v>
      </c>
      <c r="E477" s="166">
        <v>198564686</v>
      </c>
      <c r="F477" s="158" t="s">
        <v>256</v>
      </c>
      <c r="G477" s="165">
        <v>33974</v>
      </c>
      <c r="H477" s="51">
        <f t="shared" ca="1" si="14"/>
        <v>23</v>
      </c>
      <c r="I477" s="164" t="str">
        <f t="shared" si="15"/>
        <v>January</v>
      </c>
      <c r="J477" s="52" t="s">
        <v>257</v>
      </c>
      <c r="K477" s="53">
        <v>86076</v>
      </c>
      <c r="L477" s="163">
        <v>1</v>
      </c>
    </row>
    <row r="478" spans="1:12" x14ac:dyDescent="0.25">
      <c r="A478" s="158" t="s">
        <v>708</v>
      </c>
      <c r="B478" s="158" t="s">
        <v>767</v>
      </c>
      <c r="C478" s="168" t="s">
        <v>245</v>
      </c>
      <c r="D478" s="167">
        <v>2527194901</v>
      </c>
      <c r="E478" s="166">
        <v>484442635</v>
      </c>
      <c r="F478" s="158" t="s">
        <v>247</v>
      </c>
      <c r="G478" s="165">
        <v>33895</v>
      </c>
      <c r="H478" s="51">
        <f t="shared" ca="1" si="14"/>
        <v>24</v>
      </c>
      <c r="I478" s="164" t="str">
        <f t="shared" si="15"/>
        <v>October</v>
      </c>
      <c r="J478" s="52"/>
      <c r="K478" s="53">
        <v>27624</v>
      </c>
      <c r="L478" s="163">
        <v>4</v>
      </c>
    </row>
    <row r="479" spans="1:12" x14ac:dyDescent="0.25">
      <c r="A479" s="158" t="s">
        <v>774</v>
      </c>
      <c r="B479" s="158" t="s">
        <v>767</v>
      </c>
      <c r="C479" s="168" t="s">
        <v>285</v>
      </c>
      <c r="D479" s="167">
        <v>2523294956</v>
      </c>
      <c r="E479" s="166">
        <v>933883118</v>
      </c>
      <c r="F479" s="158" t="s">
        <v>247</v>
      </c>
      <c r="G479" s="165">
        <v>35386</v>
      </c>
      <c r="H479" s="51">
        <f t="shared" ca="1" si="14"/>
        <v>19</v>
      </c>
      <c r="I479" s="164" t="str">
        <f t="shared" si="15"/>
        <v>November</v>
      </c>
      <c r="J479" s="52"/>
      <c r="K479" s="53">
        <v>103176</v>
      </c>
      <c r="L479" s="163">
        <v>2</v>
      </c>
    </row>
    <row r="480" spans="1:12" x14ac:dyDescent="0.25">
      <c r="A480" s="158" t="s">
        <v>933</v>
      </c>
      <c r="B480" s="158" t="s">
        <v>767</v>
      </c>
      <c r="C480" s="168" t="s">
        <v>285</v>
      </c>
      <c r="D480" s="167">
        <v>9198591986</v>
      </c>
      <c r="E480" s="166">
        <v>828395582</v>
      </c>
      <c r="F480" s="158" t="s">
        <v>256</v>
      </c>
      <c r="G480" s="165">
        <v>34301</v>
      </c>
      <c r="H480" s="51">
        <f t="shared" ca="1" si="14"/>
        <v>22</v>
      </c>
      <c r="I480" s="164" t="str">
        <f t="shared" si="15"/>
        <v>November</v>
      </c>
      <c r="J480" s="52" t="s">
        <v>276</v>
      </c>
      <c r="K480" s="53">
        <v>86016</v>
      </c>
      <c r="L480" s="163">
        <v>4</v>
      </c>
    </row>
    <row r="481" spans="1:12" x14ac:dyDescent="0.25">
      <c r="A481" s="158" t="s">
        <v>455</v>
      </c>
      <c r="B481" s="158" t="s">
        <v>767</v>
      </c>
      <c r="C481" s="168" t="s">
        <v>245</v>
      </c>
      <c r="D481" s="167">
        <v>9197179128</v>
      </c>
      <c r="E481" s="166">
        <v>151277827</v>
      </c>
      <c r="F481" s="158" t="s">
        <v>256</v>
      </c>
      <c r="G481" s="165">
        <v>40627</v>
      </c>
      <c r="H481" s="51">
        <f t="shared" ca="1" si="14"/>
        <v>5</v>
      </c>
      <c r="I481" s="164" t="str">
        <f t="shared" si="15"/>
        <v>March</v>
      </c>
      <c r="J481" s="52" t="s">
        <v>257</v>
      </c>
      <c r="K481" s="53">
        <v>29748</v>
      </c>
      <c r="L481" s="163">
        <v>3</v>
      </c>
    </row>
    <row r="482" spans="1:12" x14ac:dyDescent="0.25">
      <c r="A482" s="158" t="s">
        <v>776</v>
      </c>
      <c r="B482" s="158" t="s">
        <v>767</v>
      </c>
      <c r="C482" s="168" t="s">
        <v>251</v>
      </c>
      <c r="D482" s="167">
        <v>2522939413</v>
      </c>
      <c r="E482" s="166">
        <v>265323292</v>
      </c>
      <c r="F482" s="158" t="s">
        <v>256</v>
      </c>
      <c r="G482" s="165">
        <v>36864</v>
      </c>
      <c r="H482" s="51">
        <f t="shared" ca="1" si="14"/>
        <v>15</v>
      </c>
      <c r="I482" s="164" t="str">
        <f t="shared" si="15"/>
        <v>December</v>
      </c>
      <c r="J482" s="52" t="s">
        <v>283</v>
      </c>
      <c r="K482" s="53">
        <v>54000</v>
      </c>
      <c r="L482" s="163">
        <v>4</v>
      </c>
    </row>
    <row r="483" spans="1:12" x14ac:dyDescent="0.25">
      <c r="A483" s="158" t="s">
        <v>780</v>
      </c>
      <c r="B483" s="158" t="s">
        <v>767</v>
      </c>
      <c r="C483" s="168" t="s">
        <v>280</v>
      </c>
      <c r="D483" s="167">
        <v>2526555049</v>
      </c>
      <c r="E483" s="166">
        <v>369210573</v>
      </c>
      <c r="F483" s="158" t="s">
        <v>261</v>
      </c>
      <c r="G483" s="165">
        <v>36945</v>
      </c>
      <c r="H483" s="51">
        <f t="shared" ca="1" si="14"/>
        <v>15</v>
      </c>
      <c r="I483" s="164" t="str">
        <f t="shared" si="15"/>
        <v>February</v>
      </c>
      <c r="J483" s="52" t="s">
        <v>283</v>
      </c>
      <c r="K483" s="53">
        <v>26970</v>
      </c>
      <c r="L483" s="163">
        <v>4</v>
      </c>
    </row>
    <row r="484" spans="1:12" x14ac:dyDescent="0.25">
      <c r="A484" s="158" t="s">
        <v>868</v>
      </c>
      <c r="B484" s="158" t="s">
        <v>767</v>
      </c>
      <c r="C484" s="168" t="s">
        <v>285</v>
      </c>
      <c r="D484" s="167">
        <v>2521220758</v>
      </c>
      <c r="E484" s="166">
        <v>349174221</v>
      </c>
      <c r="F484" s="158" t="s">
        <v>261</v>
      </c>
      <c r="G484" s="165">
        <v>36812</v>
      </c>
      <c r="H484" s="51">
        <f t="shared" ca="1" si="14"/>
        <v>16</v>
      </c>
      <c r="I484" s="164" t="str">
        <f t="shared" si="15"/>
        <v>October</v>
      </c>
      <c r="J484" s="52" t="s">
        <v>262</v>
      </c>
      <c r="K484" s="53">
        <v>54900</v>
      </c>
      <c r="L484" s="163">
        <v>5</v>
      </c>
    </row>
    <row r="485" spans="1:12" x14ac:dyDescent="0.25">
      <c r="A485" s="158" t="s">
        <v>713</v>
      </c>
      <c r="B485" s="158" t="s">
        <v>767</v>
      </c>
      <c r="C485" s="168" t="s">
        <v>285</v>
      </c>
      <c r="D485" s="167">
        <v>2523324762</v>
      </c>
      <c r="E485" s="166">
        <v>556327593</v>
      </c>
      <c r="F485" s="158" t="s">
        <v>247</v>
      </c>
      <c r="G485" s="165">
        <v>36029</v>
      </c>
      <c r="H485" s="51">
        <f t="shared" ca="1" si="14"/>
        <v>18</v>
      </c>
      <c r="I485" s="164" t="str">
        <f t="shared" si="15"/>
        <v>August</v>
      </c>
      <c r="J485" s="52"/>
      <c r="K485" s="53">
        <v>72084</v>
      </c>
      <c r="L485" s="163">
        <v>2</v>
      </c>
    </row>
    <row r="486" spans="1:12" x14ac:dyDescent="0.25">
      <c r="A486" s="158" t="s">
        <v>786</v>
      </c>
      <c r="B486" s="158" t="s">
        <v>767</v>
      </c>
      <c r="C486" s="168" t="s">
        <v>285</v>
      </c>
      <c r="D486" s="167">
        <v>2526427045</v>
      </c>
      <c r="E486" s="166">
        <v>160662505</v>
      </c>
      <c r="F486" s="158" t="s">
        <v>247</v>
      </c>
      <c r="G486" s="165">
        <v>38254</v>
      </c>
      <c r="H486" s="51">
        <f t="shared" ca="1" si="14"/>
        <v>12</v>
      </c>
      <c r="I486" s="164" t="str">
        <f t="shared" si="15"/>
        <v>September</v>
      </c>
      <c r="J486" s="52"/>
      <c r="K486" s="53">
        <v>73896</v>
      </c>
      <c r="L486" s="163">
        <v>3</v>
      </c>
    </row>
    <row r="487" spans="1:12" x14ac:dyDescent="0.25">
      <c r="A487" s="158" t="s">
        <v>497</v>
      </c>
      <c r="B487" s="158" t="s">
        <v>767</v>
      </c>
      <c r="C487" s="168" t="s">
        <v>266</v>
      </c>
      <c r="D487" s="167">
        <v>2524045531</v>
      </c>
      <c r="E487" s="166">
        <v>239847790</v>
      </c>
      <c r="F487" s="158" t="s">
        <v>247</v>
      </c>
      <c r="G487" s="165">
        <v>37103</v>
      </c>
      <c r="H487" s="51">
        <f t="shared" ca="1" si="14"/>
        <v>15</v>
      </c>
      <c r="I487" s="164" t="str">
        <f t="shared" si="15"/>
        <v>July</v>
      </c>
      <c r="J487" s="52"/>
      <c r="K487" s="53">
        <v>85560</v>
      </c>
      <c r="L487" s="163">
        <v>5</v>
      </c>
    </row>
    <row r="488" spans="1:12" x14ac:dyDescent="0.25">
      <c r="A488" s="158" t="s">
        <v>500</v>
      </c>
      <c r="B488" s="158" t="s">
        <v>767</v>
      </c>
      <c r="C488" s="168" t="s">
        <v>271</v>
      </c>
      <c r="D488" s="167">
        <v>2521544288</v>
      </c>
      <c r="E488" s="166">
        <v>554029540</v>
      </c>
      <c r="F488" s="158" t="s">
        <v>247</v>
      </c>
      <c r="G488" s="165">
        <v>33962</v>
      </c>
      <c r="H488" s="51">
        <f t="shared" ca="1" si="14"/>
        <v>23</v>
      </c>
      <c r="I488" s="164" t="str">
        <f t="shared" si="15"/>
        <v>December</v>
      </c>
      <c r="J488" s="52"/>
      <c r="K488" s="53">
        <v>70380</v>
      </c>
      <c r="L488" s="163">
        <v>4</v>
      </c>
    </row>
    <row r="489" spans="1:12" x14ac:dyDescent="0.25">
      <c r="A489" s="158" t="s">
        <v>393</v>
      </c>
      <c r="B489" s="158" t="s">
        <v>767</v>
      </c>
      <c r="C489" s="168" t="s">
        <v>245</v>
      </c>
      <c r="D489" s="167">
        <v>2522814530</v>
      </c>
      <c r="E489" s="166">
        <v>217968415</v>
      </c>
      <c r="F489" s="158" t="s">
        <v>256</v>
      </c>
      <c r="G489" s="165">
        <v>36549</v>
      </c>
      <c r="H489" s="51">
        <f t="shared" ca="1" si="14"/>
        <v>16</v>
      </c>
      <c r="I489" s="164" t="str">
        <f t="shared" si="15"/>
        <v>January</v>
      </c>
      <c r="J489" s="52" t="s">
        <v>267</v>
      </c>
      <c r="K489" s="53">
        <v>27444</v>
      </c>
      <c r="L489" s="163">
        <v>3</v>
      </c>
    </row>
    <row r="490" spans="1:12" x14ac:dyDescent="0.25">
      <c r="A490" s="158" t="s">
        <v>942</v>
      </c>
      <c r="B490" s="158" t="s">
        <v>767</v>
      </c>
      <c r="C490" s="168" t="s">
        <v>280</v>
      </c>
      <c r="D490" s="167">
        <v>2522604602</v>
      </c>
      <c r="E490" s="166">
        <v>451159170</v>
      </c>
      <c r="F490" s="158" t="s">
        <v>261</v>
      </c>
      <c r="G490" s="165">
        <v>36554</v>
      </c>
      <c r="H490" s="51">
        <f t="shared" ca="1" si="14"/>
        <v>16</v>
      </c>
      <c r="I490" s="164" t="str">
        <f t="shared" si="15"/>
        <v>January</v>
      </c>
      <c r="J490" s="52" t="s">
        <v>257</v>
      </c>
      <c r="K490" s="53">
        <v>37446</v>
      </c>
      <c r="L490" s="163">
        <v>2</v>
      </c>
    </row>
    <row r="491" spans="1:12" x14ac:dyDescent="0.25">
      <c r="A491" s="158" t="s">
        <v>944</v>
      </c>
      <c r="B491" s="158" t="s">
        <v>767</v>
      </c>
      <c r="C491" s="168" t="s">
        <v>245</v>
      </c>
      <c r="D491" s="167">
        <v>2527925201</v>
      </c>
      <c r="E491" s="166">
        <v>502200672</v>
      </c>
      <c r="F491" s="158" t="s">
        <v>247</v>
      </c>
      <c r="G491" s="165">
        <v>41138</v>
      </c>
      <c r="H491" s="51">
        <f t="shared" ca="1" si="14"/>
        <v>4</v>
      </c>
      <c r="I491" s="164" t="str">
        <f t="shared" si="15"/>
        <v>August</v>
      </c>
      <c r="J491" s="52"/>
      <c r="K491" s="53">
        <v>69216</v>
      </c>
      <c r="L491" s="163">
        <v>4</v>
      </c>
    </row>
    <row r="492" spans="1:12" x14ac:dyDescent="0.25">
      <c r="A492" s="158" t="s">
        <v>1026</v>
      </c>
      <c r="B492" s="158" t="s">
        <v>767</v>
      </c>
      <c r="C492" s="168" t="s">
        <v>245</v>
      </c>
      <c r="D492" s="167">
        <v>2521230519</v>
      </c>
      <c r="E492" s="166">
        <v>643979374</v>
      </c>
      <c r="F492" s="158" t="s">
        <v>247</v>
      </c>
      <c r="G492" s="165">
        <v>36269</v>
      </c>
      <c r="H492" s="51">
        <f t="shared" ca="1" si="14"/>
        <v>17</v>
      </c>
      <c r="I492" s="164" t="str">
        <f t="shared" si="15"/>
        <v>April</v>
      </c>
      <c r="J492" s="52"/>
      <c r="K492" s="53">
        <v>59436</v>
      </c>
      <c r="L492" s="163">
        <v>4</v>
      </c>
    </row>
    <row r="493" spans="1:12" x14ac:dyDescent="0.25">
      <c r="A493" s="158" t="s">
        <v>875</v>
      </c>
      <c r="B493" s="158" t="s">
        <v>767</v>
      </c>
      <c r="C493" s="168" t="s">
        <v>245</v>
      </c>
      <c r="D493" s="167">
        <v>9197188067</v>
      </c>
      <c r="E493" s="166">
        <v>476243591</v>
      </c>
      <c r="F493" s="158" t="s">
        <v>256</v>
      </c>
      <c r="G493" s="165">
        <v>35717</v>
      </c>
      <c r="H493" s="51">
        <f t="shared" ca="1" si="14"/>
        <v>19</v>
      </c>
      <c r="I493" s="164" t="str">
        <f t="shared" si="15"/>
        <v>October</v>
      </c>
      <c r="J493" s="52" t="s">
        <v>257</v>
      </c>
      <c r="K493" s="53">
        <v>60684</v>
      </c>
      <c r="L493" s="163">
        <v>4</v>
      </c>
    </row>
    <row r="494" spans="1:12" x14ac:dyDescent="0.25">
      <c r="A494" s="169" t="s">
        <v>250</v>
      </c>
      <c r="B494" s="158" t="s">
        <v>767</v>
      </c>
      <c r="C494" s="168" t="s">
        <v>285</v>
      </c>
      <c r="D494" s="167">
        <v>2522551469</v>
      </c>
      <c r="E494" s="166">
        <v>394876677</v>
      </c>
      <c r="F494" s="158" t="s">
        <v>256</v>
      </c>
      <c r="G494" s="165">
        <v>36344</v>
      </c>
      <c r="H494" s="51">
        <f t="shared" ca="1" si="14"/>
        <v>17</v>
      </c>
      <c r="I494" s="164" t="str">
        <f t="shared" si="15"/>
        <v>July</v>
      </c>
      <c r="J494" s="52" t="s">
        <v>283</v>
      </c>
      <c r="K494" s="53">
        <v>40872</v>
      </c>
      <c r="L494" s="163">
        <v>2</v>
      </c>
    </row>
    <row r="495" spans="1:12" x14ac:dyDescent="0.25">
      <c r="A495" s="158" t="s">
        <v>715</v>
      </c>
      <c r="B495" s="158" t="s">
        <v>767</v>
      </c>
      <c r="C495" s="168" t="s">
        <v>245</v>
      </c>
      <c r="D495" s="167">
        <v>9191675237</v>
      </c>
      <c r="E495" s="166">
        <v>174159111</v>
      </c>
      <c r="F495" s="158" t="s">
        <v>256</v>
      </c>
      <c r="G495" s="165">
        <v>36014</v>
      </c>
      <c r="H495" s="51">
        <f t="shared" ca="1" si="14"/>
        <v>18</v>
      </c>
      <c r="I495" s="164" t="str">
        <f t="shared" si="15"/>
        <v>August</v>
      </c>
      <c r="J495" s="52" t="s">
        <v>262</v>
      </c>
      <c r="K495" s="53">
        <v>87240</v>
      </c>
      <c r="L495" s="163">
        <v>5</v>
      </c>
    </row>
    <row r="496" spans="1:12" x14ac:dyDescent="0.25">
      <c r="A496" s="158" t="s">
        <v>948</v>
      </c>
      <c r="B496" s="158" t="s">
        <v>767</v>
      </c>
      <c r="C496" s="168" t="s">
        <v>271</v>
      </c>
      <c r="D496" s="167">
        <v>9195220001</v>
      </c>
      <c r="E496" s="166">
        <v>880747384</v>
      </c>
      <c r="F496" s="158" t="s">
        <v>256</v>
      </c>
      <c r="G496" s="165">
        <v>34254</v>
      </c>
      <c r="H496" s="51">
        <f t="shared" ca="1" si="14"/>
        <v>23</v>
      </c>
      <c r="I496" s="164" t="str">
        <f t="shared" si="15"/>
        <v>October</v>
      </c>
      <c r="J496" s="52" t="s">
        <v>267</v>
      </c>
      <c r="K496" s="53">
        <v>95280</v>
      </c>
      <c r="L496" s="163">
        <v>4</v>
      </c>
    </row>
    <row r="497" spans="1:12" x14ac:dyDescent="0.25">
      <c r="A497" s="158" t="s">
        <v>424</v>
      </c>
      <c r="B497" s="158" t="s">
        <v>767</v>
      </c>
      <c r="C497" s="168" t="s">
        <v>280</v>
      </c>
      <c r="D497" s="167">
        <v>9193876146</v>
      </c>
      <c r="E497" s="166">
        <v>422463024</v>
      </c>
      <c r="F497" s="158" t="s">
        <v>256</v>
      </c>
      <c r="G497" s="165">
        <v>35421</v>
      </c>
      <c r="H497" s="51">
        <f t="shared" ca="1" si="14"/>
        <v>19</v>
      </c>
      <c r="I497" s="164" t="str">
        <f t="shared" si="15"/>
        <v>December</v>
      </c>
      <c r="J497" s="52" t="s">
        <v>262</v>
      </c>
      <c r="K497" s="53">
        <v>106584</v>
      </c>
      <c r="L497" s="163">
        <v>2</v>
      </c>
    </row>
    <row r="498" spans="1:12" x14ac:dyDescent="0.25">
      <c r="A498" s="158" t="s">
        <v>793</v>
      </c>
      <c r="B498" s="158" t="s">
        <v>767</v>
      </c>
      <c r="C498" s="168" t="s">
        <v>271</v>
      </c>
      <c r="D498" s="167">
        <v>9191267946</v>
      </c>
      <c r="E498" s="166">
        <v>339488599</v>
      </c>
      <c r="F498" s="158" t="s">
        <v>247</v>
      </c>
      <c r="G498" s="165">
        <v>38132</v>
      </c>
      <c r="H498" s="51">
        <f t="shared" ca="1" si="14"/>
        <v>12</v>
      </c>
      <c r="I498" s="164" t="str">
        <f t="shared" si="15"/>
        <v>May</v>
      </c>
      <c r="J498" s="52"/>
      <c r="K498" s="53">
        <v>72084</v>
      </c>
      <c r="L498" s="163">
        <v>3</v>
      </c>
    </row>
    <row r="499" spans="1:12" x14ac:dyDescent="0.25">
      <c r="A499" s="158" t="s">
        <v>323</v>
      </c>
      <c r="B499" s="158" t="s">
        <v>767</v>
      </c>
      <c r="C499" s="168" t="s">
        <v>271</v>
      </c>
      <c r="D499" s="167">
        <v>9192999652</v>
      </c>
      <c r="E499" s="166">
        <v>561530671</v>
      </c>
      <c r="F499" s="158" t="s">
        <v>256</v>
      </c>
      <c r="G499" s="165">
        <v>34238</v>
      </c>
      <c r="H499" s="51">
        <f t="shared" ca="1" si="14"/>
        <v>23</v>
      </c>
      <c r="I499" s="164" t="str">
        <f t="shared" si="15"/>
        <v>September</v>
      </c>
      <c r="J499" s="52" t="s">
        <v>262</v>
      </c>
      <c r="K499" s="53">
        <v>65400</v>
      </c>
      <c r="L499" s="163">
        <v>5</v>
      </c>
    </row>
    <row r="500" spans="1:12" x14ac:dyDescent="0.25">
      <c r="A500" s="158" t="s">
        <v>1032</v>
      </c>
      <c r="B500" s="158" t="s">
        <v>767</v>
      </c>
      <c r="C500" s="168" t="s">
        <v>285</v>
      </c>
      <c r="D500" s="167">
        <v>9197686976</v>
      </c>
      <c r="E500" s="166">
        <v>765512793</v>
      </c>
      <c r="F500" s="158" t="s">
        <v>256</v>
      </c>
      <c r="G500" s="165">
        <v>40592</v>
      </c>
      <c r="H500" s="51">
        <f t="shared" ca="1" si="14"/>
        <v>5</v>
      </c>
      <c r="I500" s="164" t="str">
        <f t="shared" si="15"/>
        <v>February</v>
      </c>
      <c r="J500" s="52" t="s">
        <v>257</v>
      </c>
      <c r="K500" s="53">
        <v>77184</v>
      </c>
      <c r="L500" s="163">
        <v>5</v>
      </c>
    </row>
    <row r="501" spans="1:12" x14ac:dyDescent="0.25">
      <c r="A501" s="158" t="s">
        <v>795</v>
      </c>
      <c r="B501" s="158" t="s">
        <v>767</v>
      </c>
      <c r="C501" s="168" t="s">
        <v>245</v>
      </c>
      <c r="D501" s="167">
        <v>9193717553</v>
      </c>
      <c r="E501" s="166">
        <v>808012612</v>
      </c>
      <c r="F501" s="158" t="s">
        <v>247</v>
      </c>
      <c r="G501" s="165">
        <v>34386</v>
      </c>
      <c r="H501" s="51">
        <f t="shared" ca="1" si="14"/>
        <v>22</v>
      </c>
      <c r="I501" s="164" t="str">
        <f t="shared" si="15"/>
        <v>February</v>
      </c>
      <c r="J501" s="52"/>
      <c r="K501" s="53">
        <v>72660</v>
      </c>
      <c r="L501" s="163">
        <v>2</v>
      </c>
    </row>
    <row r="502" spans="1:12" x14ac:dyDescent="0.25">
      <c r="A502" s="158" t="s">
        <v>880</v>
      </c>
      <c r="B502" s="158" t="s">
        <v>767</v>
      </c>
      <c r="C502" s="168" t="s">
        <v>245</v>
      </c>
      <c r="D502" s="167">
        <v>2523613559</v>
      </c>
      <c r="E502" s="166">
        <v>828715080</v>
      </c>
      <c r="F502" s="158" t="s">
        <v>256</v>
      </c>
      <c r="G502" s="165">
        <v>35822</v>
      </c>
      <c r="H502" s="51">
        <f t="shared" ca="1" si="14"/>
        <v>18</v>
      </c>
      <c r="I502" s="164" t="str">
        <f t="shared" si="15"/>
        <v>January</v>
      </c>
      <c r="J502" s="52" t="s">
        <v>262</v>
      </c>
      <c r="K502" s="53">
        <v>73378</v>
      </c>
      <c r="L502" s="163">
        <v>2</v>
      </c>
    </row>
    <row r="503" spans="1:12" x14ac:dyDescent="0.25">
      <c r="A503" s="158" t="s">
        <v>426</v>
      </c>
      <c r="B503" s="158" t="s">
        <v>767</v>
      </c>
      <c r="C503" s="168" t="s">
        <v>285</v>
      </c>
      <c r="D503" s="167">
        <v>9195990200</v>
      </c>
      <c r="E503" s="166">
        <v>592519945</v>
      </c>
      <c r="F503" s="158" t="s">
        <v>256</v>
      </c>
      <c r="G503" s="165">
        <v>40174</v>
      </c>
      <c r="H503" s="51">
        <f t="shared" ca="1" si="14"/>
        <v>6</v>
      </c>
      <c r="I503" s="164" t="str">
        <f t="shared" si="15"/>
        <v>December</v>
      </c>
      <c r="J503" s="52" t="s">
        <v>257</v>
      </c>
      <c r="K503" s="53">
        <v>53580</v>
      </c>
      <c r="L503" s="163">
        <v>1</v>
      </c>
    </row>
    <row r="504" spans="1:12" x14ac:dyDescent="0.25">
      <c r="A504" s="158" t="s">
        <v>757</v>
      </c>
      <c r="B504" s="158" t="s">
        <v>767</v>
      </c>
      <c r="C504" s="168" t="s">
        <v>280</v>
      </c>
      <c r="D504" s="167">
        <v>9194532398</v>
      </c>
      <c r="E504" s="166">
        <v>486016972</v>
      </c>
      <c r="F504" s="158" t="s">
        <v>261</v>
      </c>
      <c r="G504" s="165">
        <v>40456</v>
      </c>
      <c r="H504" s="51">
        <f t="shared" ca="1" si="14"/>
        <v>6</v>
      </c>
      <c r="I504" s="164" t="str">
        <f t="shared" si="15"/>
        <v>October</v>
      </c>
      <c r="J504" s="52" t="s">
        <v>257</v>
      </c>
      <c r="K504" s="53">
        <v>54678</v>
      </c>
      <c r="L504" s="163">
        <v>1</v>
      </c>
    </row>
    <row r="505" spans="1:12" x14ac:dyDescent="0.25">
      <c r="A505" s="158" t="s">
        <v>638</v>
      </c>
      <c r="B505" s="158" t="s">
        <v>767</v>
      </c>
      <c r="C505" s="168" t="s">
        <v>285</v>
      </c>
      <c r="D505" s="167">
        <v>9194310812</v>
      </c>
      <c r="E505" s="166">
        <v>552528553</v>
      </c>
      <c r="F505" s="158" t="s">
        <v>252</v>
      </c>
      <c r="G505" s="165">
        <v>37068</v>
      </c>
      <c r="H505" s="51">
        <f t="shared" ca="1" si="14"/>
        <v>15</v>
      </c>
      <c r="I505" s="164" t="str">
        <f t="shared" si="15"/>
        <v>June</v>
      </c>
      <c r="J505" s="52"/>
      <c r="K505" s="53">
        <v>44419</v>
      </c>
      <c r="L505" s="163">
        <v>4</v>
      </c>
    </row>
    <row r="506" spans="1:12" x14ac:dyDescent="0.25">
      <c r="A506" s="158" t="s">
        <v>459</v>
      </c>
      <c r="B506" s="158" t="s">
        <v>767</v>
      </c>
      <c r="C506" s="168" t="s">
        <v>266</v>
      </c>
      <c r="D506" s="167">
        <v>9192921836</v>
      </c>
      <c r="E506" s="166">
        <v>289103201</v>
      </c>
      <c r="F506" s="158" t="s">
        <v>256</v>
      </c>
      <c r="G506" s="165">
        <v>39945</v>
      </c>
      <c r="H506" s="51">
        <f t="shared" ca="1" si="14"/>
        <v>7</v>
      </c>
      <c r="I506" s="164" t="str">
        <f t="shared" si="15"/>
        <v>May</v>
      </c>
      <c r="J506" s="52" t="s">
        <v>257</v>
      </c>
      <c r="K506" s="53">
        <v>88596</v>
      </c>
      <c r="L506" s="163">
        <v>2</v>
      </c>
    </row>
    <row r="507" spans="1:12" x14ac:dyDescent="0.25">
      <c r="A507" s="158" t="s">
        <v>955</v>
      </c>
      <c r="B507" s="158" t="s">
        <v>767</v>
      </c>
      <c r="C507" s="168" t="s">
        <v>285</v>
      </c>
      <c r="D507" s="167">
        <v>9191664940</v>
      </c>
      <c r="E507" s="166">
        <v>953109212</v>
      </c>
      <c r="F507" s="158" t="s">
        <v>256</v>
      </c>
      <c r="G507" s="165">
        <v>41166</v>
      </c>
      <c r="H507" s="51">
        <f t="shared" ca="1" si="14"/>
        <v>4</v>
      </c>
      <c r="I507" s="164" t="str">
        <f t="shared" si="15"/>
        <v>September</v>
      </c>
      <c r="J507" s="52" t="s">
        <v>267</v>
      </c>
      <c r="K507" s="53">
        <v>70980</v>
      </c>
      <c r="L507" s="163">
        <v>4</v>
      </c>
    </row>
    <row r="508" spans="1:12" x14ac:dyDescent="0.25">
      <c r="A508" s="158" t="s">
        <v>374</v>
      </c>
      <c r="B508" s="158" t="s">
        <v>767</v>
      </c>
      <c r="C508" s="168" t="s">
        <v>271</v>
      </c>
      <c r="D508" s="167">
        <v>2523858464</v>
      </c>
      <c r="E508" s="166">
        <v>214291610</v>
      </c>
      <c r="F508" s="158" t="s">
        <v>256</v>
      </c>
      <c r="G508" s="165">
        <v>35947</v>
      </c>
      <c r="H508" s="51">
        <f t="shared" ca="1" si="14"/>
        <v>18</v>
      </c>
      <c r="I508" s="164" t="str">
        <f t="shared" si="15"/>
        <v>June</v>
      </c>
      <c r="J508" s="52" t="s">
        <v>257</v>
      </c>
      <c r="K508" s="53">
        <v>56808</v>
      </c>
      <c r="L508" s="163">
        <v>2</v>
      </c>
    </row>
    <row r="509" spans="1:12" x14ac:dyDescent="0.25">
      <c r="A509" s="158" t="s">
        <v>430</v>
      </c>
      <c r="B509" s="158" t="s">
        <v>767</v>
      </c>
      <c r="C509" s="168" t="s">
        <v>271</v>
      </c>
      <c r="D509" s="167">
        <v>9192350434</v>
      </c>
      <c r="E509" s="166">
        <v>317193890</v>
      </c>
      <c r="F509" s="158" t="s">
        <v>256</v>
      </c>
      <c r="G509" s="165">
        <v>34897</v>
      </c>
      <c r="H509" s="51">
        <f t="shared" ca="1" si="14"/>
        <v>21</v>
      </c>
      <c r="I509" s="164" t="str">
        <f t="shared" si="15"/>
        <v>July</v>
      </c>
      <c r="J509" s="52" t="s">
        <v>267</v>
      </c>
      <c r="K509" s="53">
        <v>83304</v>
      </c>
      <c r="L509" s="163">
        <v>2</v>
      </c>
    </row>
    <row r="510" spans="1:12" x14ac:dyDescent="0.25">
      <c r="A510" s="158" t="s">
        <v>965</v>
      </c>
      <c r="B510" s="158" t="s">
        <v>767</v>
      </c>
      <c r="C510" s="168" t="s">
        <v>285</v>
      </c>
      <c r="D510" s="167">
        <v>2521569304</v>
      </c>
      <c r="E510" s="166">
        <v>468234190</v>
      </c>
      <c r="F510" s="158" t="s">
        <v>256</v>
      </c>
      <c r="G510" s="165">
        <v>35897</v>
      </c>
      <c r="H510" s="51">
        <f t="shared" ca="1" si="14"/>
        <v>18</v>
      </c>
      <c r="I510" s="164" t="str">
        <f t="shared" si="15"/>
        <v>April</v>
      </c>
      <c r="J510" s="52" t="s">
        <v>276</v>
      </c>
      <c r="K510" s="53">
        <v>87168</v>
      </c>
      <c r="L510" s="163">
        <v>3</v>
      </c>
    </row>
    <row r="511" spans="1:12" x14ac:dyDescent="0.25">
      <c r="A511" s="158" t="s">
        <v>330</v>
      </c>
      <c r="B511" s="158" t="s">
        <v>767</v>
      </c>
      <c r="C511" s="168" t="s">
        <v>285</v>
      </c>
      <c r="D511" s="167">
        <v>2527909707</v>
      </c>
      <c r="E511" s="166">
        <v>945160038</v>
      </c>
      <c r="F511" s="158" t="s">
        <v>256</v>
      </c>
      <c r="G511" s="165">
        <v>38429</v>
      </c>
      <c r="H511" s="51">
        <f t="shared" ca="1" si="14"/>
        <v>11</v>
      </c>
      <c r="I511" s="164" t="str">
        <f t="shared" si="15"/>
        <v>March</v>
      </c>
      <c r="J511" s="52" t="s">
        <v>262</v>
      </c>
      <c r="K511" s="53">
        <v>28272</v>
      </c>
      <c r="L511" s="163">
        <v>3</v>
      </c>
    </row>
    <row r="512" spans="1:12" x14ac:dyDescent="0.25">
      <c r="A512" s="158" t="s">
        <v>531</v>
      </c>
      <c r="B512" s="158" t="s">
        <v>767</v>
      </c>
      <c r="C512" s="168" t="s">
        <v>271</v>
      </c>
      <c r="D512" s="167">
        <v>2528488350</v>
      </c>
      <c r="E512" s="166">
        <v>959750235</v>
      </c>
      <c r="F512" s="158" t="s">
        <v>256</v>
      </c>
      <c r="G512" s="165">
        <v>40865</v>
      </c>
      <c r="H512" s="51">
        <f t="shared" ca="1" si="14"/>
        <v>4</v>
      </c>
      <c r="I512" s="164" t="str">
        <f t="shared" si="15"/>
        <v>November</v>
      </c>
      <c r="J512" s="52" t="s">
        <v>257</v>
      </c>
      <c r="K512" s="53">
        <v>65028</v>
      </c>
      <c r="L512" s="163">
        <v>4</v>
      </c>
    </row>
    <row r="513" spans="1:12" x14ac:dyDescent="0.25">
      <c r="A513" s="158" t="s">
        <v>642</v>
      </c>
      <c r="B513" s="158" t="s">
        <v>767</v>
      </c>
      <c r="C513" s="168" t="s">
        <v>285</v>
      </c>
      <c r="D513" s="167">
        <v>2528742282</v>
      </c>
      <c r="E513" s="166">
        <v>449987941</v>
      </c>
      <c r="F513" s="158" t="s">
        <v>256</v>
      </c>
      <c r="G513" s="165">
        <v>41205</v>
      </c>
      <c r="H513" s="51">
        <f t="shared" ca="1" si="14"/>
        <v>4</v>
      </c>
      <c r="I513" s="164" t="str">
        <f t="shared" si="15"/>
        <v>October</v>
      </c>
      <c r="J513" s="52" t="s">
        <v>267</v>
      </c>
      <c r="K513" s="53">
        <v>75847</v>
      </c>
      <c r="L513" s="163">
        <v>1</v>
      </c>
    </row>
    <row r="514" spans="1:12" x14ac:dyDescent="0.25">
      <c r="A514" s="158" t="s">
        <v>534</v>
      </c>
      <c r="B514" s="158" t="s">
        <v>767</v>
      </c>
      <c r="C514" s="168" t="s">
        <v>251</v>
      </c>
      <c r="D514" s="167">
        <v>9196446519</v>
      </c>
      <c r="E514" s="166">
        <v>343185481</v>
      </c>
      <c r="F514" s="158" t="s">
        <v>256</v>
      </c>
      <c r="G514" s="165">
        <v>36646</v>
      </c>
      <c r="H514" s="51">
        <f t="shared" ref="H514:H577" ca="1" si="16">DATEDIF(G514,TODAY(),"Y")</f>
        <v>16</v>
      </c>
      <c r="I514" s="164" t="str">
        <f t="shared" ref="I514:I577" si="17">CHOOSE(MONTH(G514),"January","February","March","April","May","June","July","August","September","October","November","December")</f>
        <v>April</v>
      </c>
      <c r="J514" s="52" t="s">
        <v>262</v>
      </c>
      <c r="K514" s="53">
        <v>88488</v>
      </c>
      <c r="L514" s="163">
        <v>4</v>
      </c>
    </row>
    <row r="515" spans="1:12" x14ac:dyDescent="0.25">
      <c r="A515" s="158" t="s">
        <v>974</v>
      </c>
      <c r="B515" s="158" t="s">
        <v>767</v>
      </c>
      <c r="C515" s="168" t="s">
        <v>266</v>
      </c>
      <c r="D515" s="167">
        <v>9195255121</v>
      </c>
      <c r="E515" s="166">
        <v>868364739</v>
      </c>
      <c r="F515" s="158" t="s">
        <v>261</v>
      </c>
      <c r="G515" s="165">
        <v>41021</v>
      </c>
      <c r="H515" s="51">
        <f t="shared" ca="1" si="16"/>
        <v>4</v>
      </c>
      <c r="I515" s="164" t="str">
        <f t="shared" si="17"/>
        <v>April</v>
      </c>
      <c r="J515" s="52" t="s">
        <v>257</v>
      </c>
      <c r="K515" s="53">
        <v>14172</v>
      </c>
      <c r="L515" s="163">
        <v>1</v>
      </c>
    </row>
    <row r="516" spans="1:12" x14ac:dyDescent="0.25">
      <c r="A516" s="158" t="s">
        <v>976</v>
      </c>
      <c r="B516" s="158" t="s">
        <v>767</v>
      </c>
      <c r="C516" s="168" t="s">
        <v>280</v>
      </c>
      <c r="D516" s="167">
        <v>9192891217</v>
      </c>
      <c r="E516" s="166">
        <v>445693854</v>
      </c>
      <c r="F516" s="158" t="s">
        <v>247</v>
      </c>
      <c r="G516" s="165">
        <v>35643</v>
      </c>
      <c r="H516" s="51">
        <f t="shared" ca="1" si="16"/>
        <v>19</v>
      </c>
      <c r="I516" s="164" t="str">
        <f t="shared" si="17"/>
        <v>August</v>
      </c>
      <c r="J516" s="52"/>
      <c r="K516" s="53">
        <v>92244</v>
      </c>
      <c r="L516" s="163">
        <v>5</v>
      </c>
    </row>
    <row r="517" spans="1:12" x14ac:dyDescent="0.25">
      <c r="A517" s="158" t="s">
        <v>699</v>
      </c>
      <c r="B517" s="158" t="s">
        <v>767</v>
      </c>
      <c r="C517" s="168" t="s">
        <v>271</v>
      </c>
      <c r="D517" s="167">
        <v>2523265407</v>
      </c>
      <c r="E517" s="166">
        <v>358017400</v>
      </c>
      <c r="F517" s="158" t="s">
        <v>252</v>
      </c>
      <c r="G517" s="165">
        <v>37108</v>
      </c>
      <c r="H517" s="51">
        <f t="shared" ca="1" si="16"/>
        <v>15</v>
      </c>
      <c r="I517" s="164" t="str">
        <f t="shared" si="17"/>
        <v>August</v>
      </c>
      <c r="J517" s="52"/>
      <c r="K517" s="53">
        <v>43262</v>
      </c>
      <c r="L517" s="163">
        <v>5</v>
      </c>
    </row>
    <row r="518" spans="1:12" x14ac:dyDescent="0.25">
      <c r="A518" s="158" t="s">
        <v>653</v>
      </c>
      <c r="B518" s="158" t="s">
        <v>767</v>
      </c>
      <c r="C518" s="168" t="s">
        <v>271</v>
      </c>
      <c r="D518" s="167">
        <v>2521384592</v>
      </c>
      <c r="E518" s="166">
        <v>978154935</v>
      </c>
      <c r="F518" s="158" t="s">
        <v>256</v>
      </c>
      <c r="G518" s="165">
        <v>36923</v>
      </c>
      <c r="H518" s="51">
        <f t="shared" ca="1" si="16"/>
        <v>15</v>
      </c>
      <c r="I518" s="164" t="str">
        <f t="shared" si="17"/>
        <v>February</v>
      </c>
      <c r="J518" s="52" t="s">
        <v>267</v>
      </c>
      <c r="K518" s="53">
        <v>55632</v>
      </c>
      <c r="L518" s="163">
        <v>5</v>
      </c>
    </row>
    <row r="519" spans="1:12" x14ac:dyDescent="0.25">
      <c r="A519" s="158" t="s">
        <v>980</v>
      </c>
      <c r="B519" s="158" t="s">
        <v>767</v>
      </c>
      <c r="C519" s="168" t="s">
        <v>271</v>
      </c>
      <c r="D519" s="167">
        <v>2524160215</v>
      </c>
      <c r="E519" s="166">
        <v>548283920</v>
      </c>
      <c r="F519" s="158" t="s">
        <v>247</v>
      </c>
      <c r="G519" s="165">
        <v>37025</v>
      </c>
      <c r="H519" s="51">
        <f t="shared" ca="1" si="16"/>
        <v>15</v>
      </c>
      <c r="I519" s="164" t="str">
        <f t="shared" si="17"/>
        <v>May</v>
      </c>
      <c r="J519" s="52"/>
      <c r="K519" s="53">
        <v>69588</v>
      </c>
      <c r="L519" s="163">
        <v>5</v>
      </c>
    </row>
    <row r="520" spans="1:12" x14ac:dyDescent="0.25">
      <c r="A520" s="158" t="s">
        <v>820</v>
      </c>
      <c r="B520" s="158" t="s">
        <v>767</v>
      </c>
      <c r="C520" s="168" t="s">
        <v>245</v>
      </c>
      <c r="D520" s="167">
        <v>2526079829</v>
      </c>
      <c r="E520" s="166">
        <v>378882665</v>
      </c>
      <c r="F520" s="158" t="s">
        <v>261</v>
      </c>
      <c r="G520" s="165">
        <v>34399</v>
      </c>
      <c r="H520" s="51">
        <f t="shared" ca="1" si="16"/>
        <v>22</v>
      </c>
      <c r="I520" s="164" t="str">
        <f t="shared" si="17"/>
        <v>March</v>
      </c>
      <c r="J520" s="52" t="s">
        <v>257</v>
      </c>
      <c r="K520" s="53">
        <v>55656</v>
      </c>
      <c r="L520" s="163">
        <v>3</v>
      </c>
    </row>
    <row r="521" spans="1:12" x14ac:dyDescent="0.25">
      <c r="A521" s="158" t="s">
        <v>434</v>
      </c>
      <c r="B521" s="158" t="s">
        <v>767</v>
      </c>
      <c r="C521" s="168" t="s">
        <v>285</v>
      </c>
      <c r="D521" s="167">
        <v>9191971988</v>
      </c>
      <c r="E521" s="166">
        <v>302170290</v>
      </c>
      <c r="F521" s="158" t="s">
        <v>256</v>
      </c>
      <c r="G521" s="165">
        <v>36256</v>
      </c>
      <c r="H521" s="51">
        <f t="shared" ca="1" si="16"/>
        <v>17</v>
      </c>
      <c r="I521" s="164" t="str">
        <f t="shared" si="17"/>
        <v>April</v>
      </c>
      <c r="J521" s="52" t="s">
        <v>257</v>
      </c>
      <c r="K521" s="53">
        <v>75924</v>
      </c>
      <c r="L521" s="163">
        <v>1</v>
      </c>
    </row>
    <row r="522" spans="1:12" x14ac:dyDescent="0.25">
      <c r="A522" s="158" t="s">
        <v>689</v>
      </c>
      <c r="B522" s="158" t="s">
        <v>767</v>
      </c>
      <c r="C522" s="168" t="s">
        <v>271</v>
      </c>
      <c r="D522" s="167">
        <v>9195691314</v>
      </c>
      <c r="E522" s="166">
        <v>330879921</v>
      </c>
      <c r="F522" s="158" t="s">
        <v>256</v>
      </c>
      <c r="G522" s="165">
        <v>36816</v>
      </c>
      <c r="H522" s="51">
        <f t="shared" ca="1" si="16"/>
        <v>16</v>
      </c>
      <c r="I522" s="164" t="str">
        <f t="shared" si="17"/>
        <v>October</v>
      </c>
      <c r="J522" s="52" t="s">
        <v>267</v>
      </c>
      <c r="K522" s="53">
        <v>65496</v>
      </c>
      <c r="L522" s="163">
        <v>4</v>
      </c>
    </row>
    <row r="523" spans="1:12" x14ac:dyDescent="0.25">
      <c r="A523" s="158" t="s">
        <v>726</v>
      </c>
      <c r="B523" s="158" t="s">
        <v>767</v>
      </c>
      <c r="C523" s="168" t="s">
        <v>271</v>
      </c>
      <c r="D523" s="167">
        <v>9195699651</v>
      </c>
      <c r="E523" s="166">
        <v>558903229</v>
      </c>
      <c r="F523" s="158" t="s">
        <v>256</v>
      </c>
      <c r="G523" s="165">
        <v>34789</v>
      </c>
      <c r="H523" s="51">
        <f t="shared" ca="1" si="16"/>
        <v>21</v>
      </c>
      <c r="I523" s="164" t="str">
        <f t="shared" si="17"/>
        <v>March</v>
      </c>
      <c r="J523" s="52" t="s">
        <v>257</v>
      </c>
      <c r="K523" s="53">
        <v>27984</v>
      </c>
      <c r="L523" s="163">
        <v>4</v>
      </c>
    </row>
    <row r="524" spans="1:12" x14ac:dyDescent="0.25">
      <c r="A524" s="158" t="s">
        <v>984</v>
      </c>
      <c r="B524" s="158" t="s">
        <v>767</v>
      </c>
      <c r="C524" s="168" t="s">
        <v>271</v>
      </c>
      <c r="D524" s="167">
        <v>9191124357</v>
      </c>
      <c r="E524" s="166">
        <v>737152868</v>
      </c>
      <c r="F524" s="158" t="s">
        <v>256</v>
      </c>
      <c r="G524" s="165">
        <v>37401</v>
      </c>
      <c r="H524" s="51">
        <f t="shared" ca="1" si="16"/>
        <v>14</v>
      </c>
      <c r="I524" s="164" t="str">
        <f t="shared" si="17"/>
        <v>May</v>
      </c>
      <c r="J524" s="52" t="s">
        <v>276</v>
      </c>
      <c r="K524" s="53">
        <v>57996</v>
      </c>
      <c r="L524" s="163">
        <v>1</v>
      </c>
    </row>
    <row r="525" spans="1:12" x14ac:dyDescent="0.25">
      <c r="A525" s="158" t="s">
        <v>985</v>
      </c>
      <c r="B525" s="158" t="s">
        <v>767</v>
      </c>
      <c r="C525" s="168" t="s">
        <v>245</v>
      </c>
      <c r="D525" s="167">
        <v>2522543210</v>
      </c>
      <c r="E525" s="166">
        <v>433314045</v>
      </c>
      <c r="F525" s="158" t="s">
        <v>247</v>
      </c>
      <c r="G525" s="165">
        <v>34366</v>
      </c>
      <c r="H525" s="51">
        <f t="shared" ca="1" si="16"/>
        <v>22</v>
      </c>
      <c r="I525" s="164" t="str">
        <f t="shared" si="17"/>
        <v>February</v>
      </c>
      <c r="J525" s="52"/>
      <c r="K525" s="53">
        <v>57108</v>
      </c>
      <c r="L525" s="163">
        <v>3</v>
      </c>
    </row>
    <row r="526" spans="1:12" x14ac:dyDescent="0.25">
      <c r="A526" s="158" t="s">
        <v>898</v>
      </c>
      <c r="B526" s="158" t="s">
        <v>767</v>
      </c>
      <c r="C526" s="168" t="s">
        <v>271</v>
      </c>
      <c r="D526" s="167">
        <v>2523046338</v>
      </c>
      <c r="E526" s="166">
        <v>456809622</v>
      </c>
      <c r="F526" s="158" t="s">
        <v>256</v>
      </c>
      <c r="G526" s="165">
        <v>33826</v>
      </c>
      <c r="H526" s="51">
        <f t="shared" ca="1" si="16"/>
        <v>24</v>
      </c>
      <c r="I526" s="164" t="str">
        <f t="shared" si="17"/>
        <v>August</v>
      </c>
      <c r="J526" s="52" t="s">
        <v>257</v>
      </c>
      <c r="K526" s="53">
        <v>57696</v>
      </c>
      <c r="L526" s="163">
        <v>2</v>
      </c>
    </row>
    <row r="527" spans="1:12" x14ac:dyDescent="0.25">
      <c r="A527" s="158" t="s">
        <v>546</v>
      </c>
      <c r="B527" s="158" t="s">
        <v>767</v>
      </c>
      <c r="C527" s="168" t="s">
        <v>271</v>
      </c>
      <c r="D527" s="167">
        <v>2528922252</v>
      </c>
      <c r="E527" s="166">
        <v>638495756</v>
      </c>
      <c r="F527" s="158" t="s">
        <v>247</v>
      </c>
      <c r="G527" s="165">
        <v>34677</v>
      </c>
      <c r="H527" s="51">
        <f t="shared" ca="1" si="16"/>
        <v>21</v>
      </c>
      <c r="I527" s="164" t="str">
        <f t="shared" si="17"/>
        <v>December</v>
      </c>
      <c r="J527" s="52"/>
      <c r="K527" s="53">
        <v>53664</v>
      </c>
      <c r="L527" s="163">
        <v>2</v>
      </c>
    </row>
    <row r="528" spans="1:12" x14ac:dyDescent="0.25">
      <c r="A528" s="158" t="s">
        <v>548</v>
      </c>
      <c r="B528" s="158" t="s">
        <v>767</v>
      </c>
      <c r="C528" s="168" t="s">
        <v>285</v>
      </c>
      <c r="D528" s="167">
        <v>9194727385</v>
      </c>
      <c r="E528" s="166">
        <v>528258211</v>
      </c>
      <c r="F528" s="158" t="s">
        <v>256</v>
      </c>
      <c r="G528" s="165">
        <v>33856</v>
      </c>
      <c r="H528" s="51">
        <f t="shared" ca="1" si="16"/>
        <v>24</v>
      </c>
      <c r="I528" s="164" t="str">
        <f t="shared" si="17"/>
        <v>September</v>
      </c>
      <c r="J528" s="52" t="s">
        <v>267</v>
      </c>
      <c r="K528" s="53">
        <v>55332</v>
      </c>
      <c r="L528" s="163">
        <v>4</v>
      </c>
    </row>
    <row r="529" spans="1:12" x14ac:dyDescent="0.25">
      <c r="A529" s="158" t="s">
        <v>556</v>
      </c>
      <c r="B529" s="158" t="s">
        <v>767</v>
      </c>
      <c r="C529" s="168" t="s">
        <v>280</v>
      </c>
      <c r="D529" s="167">
        <v>2526698101</v>
      </c>
      <c r="E529" s="166">
        <v>886332647</v>
      </c>
      <c r="F529" s="158" t="s">
        <v>256</v>
      </c>
      <c r="G529" s="165">
        <v>38576</v>
      </c>
      <c r="H529" s="51">
        <f t="shared" ca="1" si="16"/>
        <v>11</v>
      </c>
      <c r="I529" s="164" t="str">
        <f t="shared" si="17"/>
        <v>August</v>
      </c>
      <c r="J529" s="52" t="s">
        <v>262</v>
      </c>
      <c r="K529" s="53">
        <v>92292</v>
      </c>
      <c r="L529" s="163">
        <v>2</v>
      </c>
    </row>
    <row r="530" spans="1:12" x14ac:dyDescent="0.25">
      <c r="A530" s="158" t="s">
        <v>557</v>
      </c>
      <c r="B530" s="158" t="s">
        <v>767</v>
      </c>
      <c r="C530" s="168" t="s">
        <v>271</v>
      </c>
      <c r="D530" s="167">
        <v>2521276517</v>
      </c>
      <c r="E530" s="166">
        <v>462650472</v>
      </c>
      <c r="F530" s="158" t="s">
        <v>247</v>
      </c>
      <c r="G530" s="165">
        <v>34130</v>
      </c>
      <c r="H530" s="51">
        <f t="shared" ca="1" si="16"/>
        <v>23</v>
      </c>
      <c r="I530" s="164" t="str">
        <f t="shared" si="17"/>
        <v>June</v>
      </c>
      <c r="J530" s="52"/>
      <c r="K530" s="53">
        <v>95256</v>
      </c>
      <c r="L530" s="163">
        <v>1</v>
      </c>
    </row>
    <row r="531" spans="1:12" x14ac:dyDescent="0.25">
      <c r="A531" s="158" t="s">
        <v>905</v>
      </c>
      <c r="B531" s="158" t="s">
        <v>767</v>
      </c>
      <c r="C531" s="168" t="s">
        <v>271</v>
      </c>
      <c r="D531" s="167">
        <v>2522344526</v>
      </c>
      <c r="E531" s="166">
        <v>336025451</v>
      </c>
      <c r="F531" s="158" t="s">
        <v>247</v>
      </c>
      <c r="G531" s="165">
        <v>35206</v>
      </c>
      <c r="H531" s="51">
        <f t="shared" ca="1" si="16"/>
        <v>20</v>
      </c>
      <c r="I531" s="164" t="str">
        <f t="shared" si="17"/>
        <v>May</v>
      </c>
      <c r="J531" s="52"/>
      <c r="K531" s="53">
        <v>67980</v>
      </c>
      <c r="L531" s="163">
        <v>1</v>
      </c>
    </row>
    <row r="532" spans="1:12" x14ac:dyDescent="0.25">
      <c r="A532" s="158" t="s">
        <v>342</v>
      </c>
      <c r="B532" s="158" t="s">
        <v>767</v>
      </c>
      <c r="C532" s="168" t="s">
        <v>271</v>
      </c>
      <c r="D532" s="167">
        <v>9195617115</v>
      </c>
      <c r="E532" s="166">
        <v>494754997</v>
      </c>
      <c r="F532" s="158" t="s">
        <v>247</v>
      </c>
      <c r="G532" s="165">
        <v>35454</v>
      </c>
      <c r="H532" s="51">
        <f t="shared" ca="1" si="16"/>
        <v>19</v>
      </c>
      <c r="I532" s="164" t="str">
        <f t="shared" si="17"/>
        <v>January</v>
      </c>
      <c r="J532" s="52"/>
      <c r="K532" s="53">
        <v>39744</v>
      </c>
      <c r="L532" s="163">
        <v>2</v>
      </c>
    </row>
    <row r="533" spans="1:12" x14ac:dyDescent="0.25">
      <c r="A533" s="158" t="s">
        <v>990</v>
      </c>
      <c r="B533" s="158" t="s">
        <v>767</v>
      </c>
      <c r="C533" s="168" t="s">
        <v>285</v>
      </c>
      <c r="D533" s="167">
        <v>2522636321</v>
      </c>
      <c r="E533" s="166">
        <v>115404531</v>
      </c>
      <c r="F533" s="158" t="s">
        <v>261</v>
      </c>
      <c r="G533" s="165">
        <v>38901</v>
      </c>
      <c r="H533" s="51">
        <f t="shared" ca="1" si="16"/>
        <v>10</v>
      </c>
      <c r="I533" s="164" t="str">
        <f t="shared" si="17"/>
        <v>July</v>
      </c>
      <c r="J533" s="52" t="s">
        <v>283</v>
      </c>
      <c r="K533" s="53">
        <v>39480</v>
      </c>
      <c r="L533" s="163">
        <v>2</v>
      </c>
    </row>
    <row r="534" spans="1:12" x14ac:dyDescent="0.25">
      <c r="A534" s="158" t="s">
        <v>437</v>
      </c>
      <c r="B534" s="158" t="s">
        <v>767</v>
      </c>
      <c r="C534" s="168" t="s">
        <v>271</v>
      </c>
      <c r="D534" s="167">
        <v>9198642893</v>
      </c>
      <c r="E534" s="166">
        <v>379340654</v>
      </c>
      <c r="F534" s="158" t="s">
        <v>256</v>
      </c>
      <c r="G534" s="165">
        <v>36718</v>
      </c>
      <c r="H534" s="51">
        <f t="shared" ca="1" si="16"/>
        <v>16</v>
      </c>
      <c r="I534" s="164" t="str">
        <f t="shared" si="17"/>
        <v>July</v>
      </c>
      <c r="J534" s="52" t="s">
        <v>276</v>
      </c>
      <c r="K534" s="53">
        <v>44268</v>
      </c>
      <c r="L534" s="163">
        <v>1</v>
      </c>
    </row>
    <row r="535" spans="1:12" x14ac:dyDescent="0.25">
      <c r="A535" s="158" t="s">
        <v>827</v>
      </c>
      <c r="B535" s="158" t="s">
        <v>767</v>
      </c>
      <c r="C535" s="168" t="s">
        <v>285</v>
      </c>
      <c r="D535" s="167">
        <v>9197600603</v>
      </c>
      <c r="E535" s="166">
        <v>161439267</v>
      </c>
      <c r="F535" s="158" t="s">
        <v>256</v>
      </c>
      <c r="G535" s="165">
        <v>40090</v>
      </c>
      <c r="H535" s="51">
        <f t="shared" ca="1" si="16"/>
        <v>7</v>
      </c>
      <c r="I535" s="164" t="str">
        <f t="shared" si="17"/>
        <v>October</v>
      </c>
      <c r="J535" s="52" t="s">
        <v>262</v>
      </c>
      <c r="K535" s="53">
        <v>50424</v>
      </c>
      <c r="L535" s="163">
        <v>5</v>
      </c>
    </row>
    <row r="536" spans="1:12" x14ac:dyDescent="0.25">
      <c r="A536" s="158" t="s">
        <v>995</v>
      </c>
      <c r="B536" s="158" t="s">
        <v>767</v>
      </c>
      <c r="C536" s="168" t="s">
        <v>245</v>
      </c>
      <c r="D536" s="167">
        <v>2521246633</v>
      </c>
      <c r="E536" s="166">
        <v>106686151</v>
      </c>
      <c r="F536" s="158" t="s">
        <v>247</v>
      </c>
      <c r="G536" s="165">
        <v>36814</v>
      </c>
      <c r="H536" s="51">
        <f t="shared" ca="1" si="16"/>
        <v>16</v>
      </c>
      <c r="I536" s="164" t="str">
        <f t="shared" si="17"/>
        <v>October</v>
      </c>
      <c r="J536" s="52"/>
      <c r="K536" s="53">
        <v>57024</v>
      </c>
      <c r="L536" s="163">
        <v>1</v>
      </c>
    </row>
    <row r="537" spans="1:12" x14ac:dyDescent="0.25">
      <c r="A537" s="158" t="s">
        <v>575</v>
      </c>
      <c r="B537" s="158" t="s">
        <v>767</v>
      </c>
      <c r="C537" s="168" t="s">
        <v>271</v>
      </c>
      <c r="D537" s="167">
        <v>9191963194</v>
      </c>
      <c r="E537" s="166">
        <v>387131597</v>
      </c>
      <c r="F537" s="158" t="s">
        <v>247</v>
      </c>
      <c r="G537" s="165">
        <v>34243</v>
      </c>
      <c r="H537" s="51">
        <f t="shared" ca="1" si="16"/>
        <v>23</v>
      </c>
      <c r="I537" s="164" t="str">
        <f t="shared" si="17"/>
        <v>October</v>
      </c>
      <c r="J537" s="52"/>
      <c r="K537" s="53">
        <v>63300</v>
      </c>
      <c r="L537" s="163">
        <v>1</v>
      </c>
    </row>
    <row r="538" spans="1:12" x14ac:dyDescent="0.25">
      <c r="A538" s="158" t="s">
        <v>310</v>
      </c>
      <c r="B538" s="158" t="s">
        <v>767</v>
      </c>
      <c r="C538" s="168" t="s">
        <v>266</v>
      </c>
      <c r="D538" s="167">
        <v>2528439277</v>
      </c>
      <c r="E538" s="166">
        <v>437460422</v>
      </c>
      <c r="F538" s="158" t="s">
        <v>261</v>
      </c>
      <c r="G538" s="165">
        <v>39451</v>
      </c>
      <c r="H538" s="51">
        <f t="shared" ca="1" si="16"/>
        <v>8</v>
      </c>
      <c r="I538" s="164" t="str">
        <f t="shared" si="17"/>
        <v>January</v>
      </c>
      <c r="J538" s="52" t="s">
        <v>283</v>
      </c>
      <c r="K538" s="53">
        <v>12756</v>
      </c>
      <c r="L538" s="163">
        <v>3</v>
      </c>
    </row>
    <row r="539" spans="1:12" x14ac:dyDescent="0.25">
      <c r="A539" s="158" t="s">
        <v>578</v>
      </c>
      <c r="B539" s="158" t="s">
        <v>767</v>
      </c>
      <c r="C539" s="168" t="s">
        <v>271</v>
      </c>
      <c r="D539" s="167">
        <v>9191376854</v>
      </c>
      <c r="E539" s="166">
        <v>867100310</v>
      </c>
      <c r="F539" s="158" t="s">
        <v>256</v>
      </c>
      <c r="G539" s="165">
        <v>37121</v>
      </c>
      <c r="H539" s="51">
        <f t="shared" ca="1" si="16"/>
        <v>15</v>
      </c>
      <c r="I539" s="164" t="str">
        <f t="shared" si="17"/>
        <v>August</v>
      </c>
      <c r="J539" s="52" t="s">
        <v>283</v>
      </c>
      <c r="K539" s="53">
        <v>79092</v>
      </c>
      <c r="L539" s="163">
        <v>5</v>
      </c>
    </row>
    <row r="540" spans="1:12" x14ac:dyDescent="0.25">
      <c r="A540" s="158" t="s">
        <v>696</v>
      </c>
      <c r="B540" s="158" t="s">
        <v>767</v>
      </c>
      <c r="C540" s="168" t="s">
        <v>266</v>
      </c>
      <c r="D540" s="167">
        <v>2522924678</v>
      </c>
      <c r="E540" s="166">
        <v>546159785</v>
      </c>
      <c r="F540" s="158" t="s">
        <v>256</v>
      </c>
      <c r="G540" s="165">
        <v>39151</v>
      </c>
      <c r="H540" s="51">
        <f t="shared" ca="1" si="16"/>
        <v>9</v>
      </c>
      <c r="I540" s="164" t="str">
        <f t="shared" si="17"/>
        <v>March</v>
      </c>
      <c r="J540" s="52" t="s">
        <v>276</v>
      </c>
      <c r="K540" s="53">
        <v>73596</v>
      </c>
      <c r="L540" s="163">
        <v>2</v>
      </c>
    </row>
    <row r="541" spans="1:12" x14ac:dyDescent="0.25">
      <c r="A541" s="158" t="s">
        <v>352</v>
      </c>
      <c r="B541" s="158" t="s">
        <v>767</v>
      </c>
      <c r="C541" s="168" t="s">
        <v>271</v>
      </c>
      <c r="D541" s="167">
        <v>2521957923</v>
      </c>
      <c r="E541" s="166">
        <v>728567428</v>
      </c>
      <c r="F541" s="158" t="s">
        <v>256</v>
      </c>
      <c r="G541" s="165">
        <v>41352</v>
      </c>
      <c r="H541" s="51">
        <f t="shared" ca="1" si="16"/>
        <v>3</v>
      </c>
      <c r="I541" s="164" t="str">
        <f t="shared" si="17"/>
        <v>March</v>
      </c>
      <c r="J541" s="52" t="s">
        <v>276</v>
      </c>
      <c r="K541" s="53">
        <v>103800</v>
      </c>
      <c r="L541" s="163">
        <v>1</v>
      </c>
    </row>
    <row r="542" spans="1:12" x14ac:dyDescent="0.25">
      <c r="A542" s="158" t="s">
        <v>582</v>
      </c>
      <c r="B542" s="158" t="s">
        <v>767</v>
      </c>
      <c r="C542" s="168" t="s">
        <v>285</v>
      </c>
      <c r="D542" s="167">
        <v>2525842116</v>
      </c>
      <c r="E542" s="166">
        <v>699386024</v>
      </c>
      <c r="F542" s="158" t="s">
        <v>252</v>
      </c>
      <c r="G542" s="165">
        <v>36756</v>
      </c>
      <c r="H542" s="51">
        <f t="shared" ca="1" si="16"/>
        <v>16</v>
      </c>
      <c r="I542" s="164" t="str">
        <f t="shared" si="17"/>
        <v>August</v>
      </c>
      <c r="J542" s="52"/>
      <c r="K542" s="53">
        <v>20026</v>
      </c>
      <c r="L542" s="163">
        <v>3</v>
      </c>
    </row>
    <row r="543" spans="1:12" x14ac:dyDescent="0.25">
      <c r="A543" s="158" t="s">
        <v>584</v>
      </c>
      <c r="B543" s="158" t="s">
        <v>767</v>
      </c>
      <c r="C543" s="168" t="s">
        <v>271</v>
      </c>
      <c r="D543" s="167">
        <v>9192453666</v>
      </c>
      <c r="E543" s="166">
        <v>503036433</v>
      </c>
      <c r="F543" s="158" t="s">
        <v>256</v>
      </c>
      <c r="G543" s="165">
        <v>34188</v>
      </c>
      <c r="H543" s="51">
        <f t="shared" ca="1" si="16"/>
        <v>23</v>
      </c>
      <c r="I543" s="164" t="str">
        <f t="shared" si="17"/>
        <v>August</v>
      </c>
      <c r="J543" s="52" t="s">
        <v>267</v>
      </c>
      <c r="K543" s="53">
        <v>93288</v>
      </c>
      <c r="L543" s="163">
        <v>1</v>
      </c>
    </row>
    <row r="544" spans="1:12" x14ac:dyDescent="0.25">
      <c r="A544" s="158" t="s">
        <v>445</v>
      </c>
      <c r="B544" s="158" t="s">
        <v>767</v>
      </c>
      <c r="C544" s="168" t="s">
        <v>285</v>
      </c>
      <c r="D544" s="167">
        <v>9196456972</v>
      </c>
      <c r="E544" s="166">
        <v>938723321</v>
      </c>
      <c r="F544" s="158" t="s">
        <v>247</v>
      </c>
      <c r="G544" s="165">
        <v>40071</v>
      </c>
      <c r="H544" s="51">
        <f t="shared" ca="1" si="16"/>
        <v>7</v>
      </c>
      <c r="I544" s="164" t="str">
        <f t="shared" si="17"/>
        <v>September</v>
      </c>
      <c r="J544" s="52"/>
      <c r="K544" s="53">
        <v>107568</v>
      </c>
      <c r="L544" s="163">
        <v>4</v>
      </c>
    </row>
    <row r="545" spans="1:12" x14ac:dyDescent="0.25">
      <c r="A545" s="158" t="s">
        <v>762</v>
      </c>
      <c r="B545" s="158" t="s">
        <v>767</v>
      </c>
      <c r="C545" s="168" t="s">
        <v>285</v>
      </c>
      <c r="D545" s="167">
        <v>2523122083</v>
      </c>
      <c r="E545" s="166">
        <v>569882669</v>
      </c>
      <c r="F545" s="158" t="s">
        <v>256</v>
      </c>
      <c r="G545" s="165">
        <v>38296</v>
      </c>
      <c r="H545" s="51">
        <f t="shared" ca="1" si="16"/>
        <v>12</v>
      </c>
      <c r="I545" s="164" t="str">
        <f t="shared" si="17"/>
        <v>November</v>
      </c>
      <c r="J545" s="52" t="s">
        <v>262</v>
      </c>
      <c r="K545" s="53">
        <v>54120</v>
      </c>
      <c r="L545" s="163">
        <v>2</v>
      </c>
    </row>
    <row r="546" spans="1:12" x14ac:dyDescent="0.25">
      <c r="A546" s="158" t="s">
        <v>832</v>
      </c>
      <c r="B546" s="158" t="s">
        <v>767</v>
      </c>
      <c r="C546" s="168" t="s">
        <v>245</v>
      </c>
      <c r="D546" s="167">
        <v>9191191599</v>
      </c>
      <c r="E546" s="166">
        <v>160184934</v>
      </c>
      <c r="F546" s="158" t="s">
        <v>261</v>
      </c>
      <c r="G546" s="165">
        <v>35521</v>
      </c>
      <c r="H546" s="51">
        <f t="shared" ca="1" si="16"/>
        <v>19</v>
      </c>
      <c r="I546" s="164" t="str">
        <f t="shared" si="17"/>
        <v>April</v>
      </c>
      <c r="J546" s="52" t="s">
        <v>283</v>
      </c>
      <c r="K546" s="53">
        <v>12840</v>
      </c>
      <c r="L546" s="163">
        <v>4</v>
      </c>
    </row>
    <row r="547" spans="1:12" x14ac:dyDescent="0.25">
      <c r="A547" s="158" t="s">
        <v>913</v>
      </c>
      <c r="B547" s="158" t="s">
        <v>767</v>
      </c>
      <c r="C547" s="168" t="s">
        <v>271</v>
      </c>
      <c r="D547" s="167">
        <v>2528687353</v>
      </c>
      <c r="E547" s="166">
        <v>191359642</v>
      </c>
      <c r="F547" s="158" t="s">
        <v>256</v>
      </c>
      <c r="G547" s="165">
        <v>34089</v>
      </c>
      <c r="H547" s="51">
        <f t="shared" ca="1" si="16"/>
        <v>23</v>
      </c>
      <c r="I547" s="164" t="str">
        <f t="shared" si="17"/>
        <v>April</v>
      </c>
      <c r="J547" s="52" t="s">
        <v>257</v>
      </c>
      <c r="K547" s="53">
        <v>28908</v>
      </c>
      <c r="L547" s="163">
        <v>4</v>
      </c>
    </row>
    <row r="548" spans="1:12" x14ac:dyDescent="0.25">
      <c r="A548" s="158" t="s">
        <v>739</v>
      </c>
      <c r="B548" s="158" t="s">
        <v>767</v>
      </c>
      <c r="C548" s="168" t="s">
        <v>285</v>
      </c>
      <c r="D548" s="167">
        <v>2528842613</v>
      </c>
      <c r="E548" s="166">
        <v>967035612</v>
      </c>
      <c r="F548" s="158" t="s">
        <v>256</v>
      </c>
      <c r="G548" s="165">
        <v>34877</v>
      </c>
      <c r="H548" s="51">
        <f t="shared" ca="1" si="16"/>
        <v>21</v>
      </c>
      <c r="I548" s="164" t="str">
        <f t="shared" si="17"/>
        <v>June</v>
      </c>
      <c r="J548" s="52" t="s">
        <v>276</v>
      </c>
      <c r="K548" s="53">
        <v>76128</v>
      </c>
      <c r="L548" s="163">
        <v>3</v>
      </c>
    </row>
    <row r="549" spans="1:12" x14ac:dyDescent="0.25">
      <c r="A549" s="158" t="s">
        <v>447</v>
      </c>
      <c r="B549" s="158" t="s">
        <v>767</v>
      </c>
      <c r="C549" s="168" t="s">
        <v>266</v>
      </c>
      <c r="D549" s="167">
        <v>2524078104</v>
      </c>
      <c r="E549" s="166">
        <v>920265140</v>
      </c>
      <c r="F549" s="158" t="s">
        <v>256</v>
      </c>
      <c r="G549" s="165">
        <v>39518</v>
      </c>
      <c r="H549" s="51">
        <f t="shared" ca="1" si="16"/>
        <v>8</v>
      </c>
      <c r="I549" s="164" t="str">
        <f t="shared" si="17"/>
        <v>March</v>
      </c>
      <c r="J549" s="52" t="s">
        <v>262</v>
      </c>
      <c r="K549" s="53">
        <v>75226</v>
      </c>
      <c r="L549" s="163">
        <v>3</v>
      </c>
    </row>
    <row r="550" spans="1:12" x14ac:dyDescent="0.25">
      <c r="A550" s="158" t="s">
        <v>596</v>
      </c>
      <c r="B550" s="158" t="s">
        <v>767</v>
      </c>
      <c r="C550" s="168" t="s">
        <v>251</v>
      </c>
      <c r="D550" s="167">
        <v>9192917217</v>
      </c>
      <c r="E550" s="166">
        <v>698472533</v>
      </c>
      <c r="F550" s="158" t="s">
        <v>247</v>
      </c>
      <c r="G550" s="165">
        <v>36427</v>
      </c>
      <c r="H550" s="51">
        <f t="shared" ca="1" si="16"/>
        <v>17</v>
      </c>
      <c r="I550" s="164" t="str">
        <f t="shared" si="17"/>
        <v>September</v>
      </c>
      <c r="J550" s="52"/>
      <c r="K550" s="53">
        <v>43476</v>
      </c>
      <c r="L550" s="163">
        <v>2</v>
      </c>
    </row>
    <row r="551" spans="1:12" x14ac:dyDescent="0.25">
      <c r="A551" s="158" t="s">
        <v>917</v>
      </c>
      <c r="B551" s="158" t="s">
        <v>767</v>
      </c>
      <c r="C551" s="168" t="s">
        <v>245</v>
      </c>
      <c r="D551" s="167">
        <v>2522238535</v>
      </c>
      <c r="E551" s="166">
        <v>570756015</v>
      </c>
      <c r="F551" s="158" t="s">
        <v>261</v>
      </c>
      <c r="G551" s="165">
        <v>41149</v>
      </c>
      <c r="H551" s="51">
        <f t="shared" ca="1" si="16"/>
        <v>4</v>
      </c>
      <c r="I551" s="164" t="str">
        <f t="shared" si="17"/>
        <v>August</v>
      </c>
      <c r="J551" s="52" t="s">
        <v>262</v>
      </c>
      <c r="K551" s="53">
        <v>59226</v>
      </c>
      <c r="L551" s="163">
        <v>5</v>
      </c>
    </row>
    <row r="552" spans="1:12" x14ac:dyDescent="0.25">
      <c r="A552" s="158" t="s">
        <v>670</v>
      </c>
      <c r="B552" s="158" t="s">
        <v>767</v>
      </c>
      <c r="C552" s="168" t="s">
        <v>285</v>
      </c>
      <c r="D552" s="167">
        <v>2522792063</v>
      </c>
      <c r="E552" s="166">
        <v>963000861</v>
      </c>
      <c r="F552" s="158" t="s">
        <v>247</v>
      </c>
      <c r="G552" s="165">
        <v>35874</v>
      </c>
      <c r="H552" s="51">
        <f t="shared" ca="1" si="16"/>
        <v>18</v>
      </c>
      <c r="I552" s="164" t="str">
        <f t="shared" si="17"/>
        <v>March</v>
      </c>
      <c r="J552" s="52"/>
      <c r="K552" s="53">
        <v>87828</v>
      </c>
      <c r="L552" s="163">
        <v>1</v>
      </c>
    </row>
    <row r="553" spans="1:12" x14ac:dyDescent="0.25">
      <c r="A553" s="158" t="s">
        <v>287</v>
      </c>
      <c r="B553" s="158" t="s">
        <v>767</v>
      </c>
      <c r="C553" s="168" t="s">
        <v>271</v>
      </c>
      <c r="D553" s="167">
        <v>9196245634</v>
      </c>
      <c r="E553" s="166">
        <v>990843236</v>
      </c>
      <c r="F553" s="158" t="s">
        <v>256</v>
      </c>
      <c r="G553" s="165">
        <v>39775</v>
      </c>
      <c r="H553" s="51">
        <f t="shared" ca="1" si="16"/>
        <v>7</v>
      </c>
      <c r="I553" s="164" t="str">
        <f t="shared" si="17"/>
        <v>November</v>
      </c>
      <c r="J553" s="52" t="s">
        <v>283</v>
      </c>
      <c r="K553" s="53">
        <v>79056</v>
      </c>
      <c r="L553" s="163">
        <v>5</v>
      </c>
    </row>
    <row r="554" spans="1:12" x14ac:dyDescent="0.25">
      <c r="A554" s="158" t="s">
        <v>841</v>
      </c>
      <c r="B554" s="158" t="s">
        <v>767</v>
      </c>
      <c r="C554" s="168" t="s">
        <v>251</v>
      </c>
      <c r="D554" s="167">
        <v>9193182167</v>
      </c>
      <c r="E554" s="166">
        <v>618775364</v>
      </c>
      <c r="F554" s="158" t="s">
        <v>261</v>
      </c>
      <c r="G554" s="165">
        <v>40982</v>
      </c>
      <c r="H554" s="51">
        <f t="shared" ca="1" si="16"/>
        <v>4</v>
      </c>
      <c r="I554" s="164" t="str">
        <f t="shared" si="17"/>
        <v>March</v>
      </c>
      <c r="J554" s="52" t="s">
        <v>283</v>
      </c>
      <c r="K554" s="53">
        <v>58440</v>
      </c>
      <c r="L554" s="163">
        <v>3</v>
      </c>
    </row>
    <row r="555" spans="1:12" x14ac:dyDescent="0.25">
      <c r="A555" s="158" t="s">
        <v>744</v>
      </c>
      <c r="B555" s="158" t="s">
        <v>767</v>
      </c>
      <c r="C555" s="168" t="s">
        <v>285</v>
      </c>
      <c r="D555" s="167">
        <v>9193552027</v>
      </c>
      <c r="E555" s="166">
        <v>965916299</v>
      </c>
      <c r="F555" s="158" t="s">
        <v>256</v>
      </c>
      <c r="G555" s="165">
        <v>36421</v>
      </c>
      <c r="H555" s="51">
        <f t="shared" ca="1" si="16"/>
        <v>17</v>
      </c>
      <c r="I555" s="164" t="str">
        <f t="shared" si="17"/>
        <v>September</v>
      </c>
      <c r="J555" s="52" t="s">
        <v>262</v>
      </c>
      <c r="K555" s="53">
        <v>29208</v>
      </c>
      <c r="L555" s="163">
        <v>4</v>
      </c>
    </row>
    <row r="556" spans="1:12" x14ac:dyDescent="0.25">
      <c r="A556" s="158" t="s">
        <v>362</v>
      </c>
      <c r="B556" s="158" t="s">
        <v>767</v>
      </c>
      <c r="C556" s="168" t="s">
        <v>271</v>
      </c>
      <c r="D556" s="167">
        <v>9198561246</v>
      </c>
      <c r="E556" s="166">
        <v>278129861</v>
      </c>
      <c r="F556" s="158" t="s">
        <v>247</v>
      </c>
      <c r="G556" s="165">
        <v>41132</v>
      </c>
      <c r="H556" s="51">
        <f t="shared" ca="1" si="16"/>
        <v>4</v>
      </c>
      <c r="I556" s="164" t="str">
        <f t="shared" si="17"/>
        <v>August</v>
      </c>
      <c r="J556" s="52"/>
      <c r="K556" s="53">
        <v>47460</v>
      </c>
      <c r="L556" s="163">
        <v>5</v>
      </c>
    </row>
    <row r="557" spans="1:12" x14ac:dyDescent="0.25">
      <c r="A557" s="158" t="s">
        <v>449</v>
      </c>
      <c r="B557" s="158" t="s">
        <v>767</v>
      </c>
      <c r="C557" s="168" t="s">
        <v>271</v>
      </c>
      <c r="D557" s="167">
        <v>9193279828</v>
      </c>
      <c r="E557" s="166">
        <v>924942231</v>
      </c>
      <c r="F557" s="158" t="s">
        <v>261</v>
      </c>
      <c r="G557" s="165">
        <v>40894</v>
      </c>
      <c r="H557" s="51">
        <f t="shared" ca="1" si="16"/>
        <v>4</v>
      </c>
      <c r="I557" s="164" t="str">
        <f t="shared" si="17"/>
        <v>December</v>
      </c>
      <c r="J557" s="52" t="s">
        <v>276</v>
      </c>
      <c r="K557" s="53">
        <v>30294</v>
      </c>
      <c r="L557" s="163">
        <v>5</v>
      </c>
    </row>
    <row r="558" spans="1:12" x14ac:dyDescent="0.25">
      <c r="A558" s="158" t="s">
        <v>607</v>
      </c>
      <c r="B558" s="158" t="s">
        <v>767</v>
      </c>
      <c r="C558" s="168" t="s">
        <v>271</v>
      </c>
      <c r="D558" s="167">
        <v>2522639452</v>
      </c>
      <c r="E558" s="166">
        <v>209846975</v>
      </c>
      <c r="F558" s="158" t="s">
        <v>261</v>
      </c>
      <c r="G558" s="165">
        <v>37977</v>
      </c>
      <c r="H558" s="51">
        <f t="shared" ca="1" si="16"/>
        <v>12</v>
      </c>
      <c r="I558" s="164" t="str">
        <f t="shared" si="17"/>
        <v>December</v>
      </c>
      <c r="J558" s="52" t="s">
        <v>276</v>
      </c>
      <c r="K558" s="53">
        <v>15054</v>
      </c>
      <c r="L558" s="163">
        <v>4</v>
      </c>
    </row>
    <row r="559" spans="1:12" x14ac:dyDescent="0.25">
      <c r="A559" s="158" t="s">
        <v>609</v>
      </c>
      <c r="B559" s="158" t="s">
        <v>767</v>
      </c>
      <c r="C559" s="168" t="s">
        <v>245</v>
      </c>
      <c r="D559" s="167">
        <v>9196114005</v>
      </c>
      <c r="E559" s="166">
        <v>452255054</v>
      </c>
      <c r="F559" s="158" t="s">
        <v>247</v>
      </c>
      <c r="G559" s="165">
        <v>34306</v>
      </c>
      <c r="H559" s="51">
        <f t="shared" ca="1" si="16"/>
        <v>22</v>
      </c>
      <c r="I559" s="164" t="str">
        <f t="shared" si="17"/>
        <v>December</v>
      </c>
      <c r="J559" s="52"/>
      <c r="K559" s="53">
        <v>61008</v>
      </c>
      <c r="L559" s="163">
        <v>4</v>
      </c>
    </row>
    <row r="560" spans="1:12" x14ac:dyDescent="0.25">
      <c r="A560" s="158" t="s">
        <v>364</v>
      </c>
      <c r="B560" s="158" t="s">
        <v>767</v>
      </c>
      <c r="C560" s="168" t="s">
        <v>271</v>
      </c>
      <c r="D560" s="167">
        <v>2527557761</v>
      </c>
      <c r="E560" s="166">
        <v>505680981</v>
      </c>
      <c r="F560" s="158" t="s">
        <v>256</v>
      </c>
      <c r="G560" s="165">
        <v>37866</v>
      </c>
      <c r="H560" s="51">
        <f t="shared" ca="1" si="16"/>
        <v>13</v>
      </c>
      <c r="I560" s="164" t="str">
        <f t="shared" si="17"/>
        <v>September</v>
      </c>
      <c r="J560" s="52" t="s">
        <v>257</v>
      </c>
      <c r="K560" s="53">
        <v>34956</v>
      </c>
      <c r="L560" s="163">
        <v>1</v>
      </c>
    </row>
    <row r="561" spans="1:12" x14ac:dyDescent="0.25">
      <c r="A561" s="158" t="s">
        <v>763</v>
      </c>
      <c r="B561" s="158" t="s">
        <v>767</v>
      </c>
      <c r="C561" s="168" t="s">
        <v>285</v>
      </c>
      <c r="D561" s="167">
        <v>9196650531</v>
      </c>
      <c r="E561" s="166">
        <v>475671127</v>
      </c>
      <c r="F561" s="158" t="s">
        <v>256</v>
      </c>
      <c r="G561" s="165">
        <v>36686</v>
      </c>
      <c r="H561" s="51">
        <f t="shared" ca="1" si="16"/>
        <v>16</v>
      </c>
      <c r="I561" s="164" t="str">
        <f t="shared" si="17"/>
        <v>June</v>
      </c>
      <c r="J561" s="52" t="s">
        <v>283</v>
      </c>
      <c r="K561" s="53">
        <v>73704</v>
      </c>
      <c r="L561" s="163">
        <v>4</v>
      </c>
    </row>
    <row r="562" spans="1:12" x14ac:dyDescent="0.25">
      <c r="A562" s="158" t="s">
        <v>367</v>
      </c>
      <c r="B562" s="158" t="s">
        <v>767</v>
      </c>
      <c r="C562" s="168" t="s">
        <v>245</v>
      </c>
      <c r="D562" s="167">
        <v>9194630903</v>
      </c>
      <c r="E562" s="166">
        <v>991221095</v>
      </c>
      <c r="F562" s="158" t="s">
        <v>256</v>
      </c>
      <c r="G562" s="165">
        <v>35879</v>
      </c>
      <c r="H562" s="51">
        <f t="shared" ca="1" si="16"/>
        <v>18</v>
      </c>
      <c r="I562" s="164" t="str">
        <f t="shared" si="17"/>
        <v>March</v>
      </c>
      <c r="J562" s="52" t="s">
        <v>276</v>
      </c>
      <c r="K562" s="53">
        <v>35712</v>
      </c>
      <c r="L562" s="163">
        <v>2</v>
      </c>
    </row>
    <row r="563" spans="1:12" x14ac:dyDescent="0.25">
      <c r="A563" s="158" t="s">
        <v>1021</v>
      </c>
      <c r="B563" s="158" t="s">
        <v>767</v>
      </c>
      <c r="C563" s="168" t="s">
        <v>245</v>
      </c>
      <c r="D563" s="167">
        <v>9198400261</v>
      </c>
      <c r="E563" s="166">
        <v>525699951</v>
      </c>
      <c r="F563" s="158" t="s">
        <v>252</v>
      </c>
      <c r="G563" s="165">
        <v>36674</v>
      </c>
      <c r="H563" s="51">
        <f t="shared" ca="1" si="16"/>
        <v>16</v>
      </c>
      <c r="I563" s="164" t="str">
        <f t="shared" si="17"/>
        <v>May</v>
      </c>
      <c r="J563" s="52"/>
      <c r="K563" s="53">
        <v>17198</v>
      </c>
      <c r="L563" s="163">
        <v>5</v>
      </c>
    </row>
    <row r="564" spans="1:12" x14ac:dyDescent="0.25">
      <c r="A564" s="158" t="s">
        <v>369</v>
      </c>
      <c r="B564" s="158" t="s">
        <v>767</v>
      </c>
      <c r="C564" s="168" t="s">
        <v>271</v>
      </c>
      <c r="D564" s="167">
        <v>2526712695</v>
      </c>
      <c r="E564" s="166">
        <v>113252240</v>
      </c>
      <c r="F564" s="158" t="s">
        <v>256</v>
      </c>
      <c r="G564" s="165">
        <v>37264</v>
      </c>
      <c r="H564" s="51">
        <f t="shared" ca="1" si="16"/>
        <v>14</v>
      </c>
      <c r="I564" s="164" t="str">
        <f t="shared" si="17"/>
        <v>January</v>
      </c>
      <c r="J564" s="52" t="s">
        <v>257</v>
      </c>
      <c r="K564" s="53">
        <v>74880</v>
      </c>
      <c r="L564" s="163">
        <v>4</v>
      </c>
    </row>
    <row r="565" spans="1:12" x14ac:dyDescent="0.25">
      <c r="A565" s="158" t="s">
        <v>305</v>
      </c>
      <c r="B565" s="158" t="s">
        <v>767</v>
      </c>
      <c r="C565" s="168" t="s">
        <v>271</v>
      </c>
      <c r="D565" s="167">
        <v>9195442791</v>
      </c>
      <c r="E565" s="166">
        <v>313358310</v>
      </c>
      <c r="F565" s="158" t="s">
        <v>256</v>
      </c>
      <c r="G565" s="165">
        <v>34950</v>
      </c>
      <c r="H565" s="51">
        <f t="shared" ca="1" si="16"/>
        <v>21</v>
      </c>
      <c r="I565" s="164" t="str">
        <f t="shared" si="17"/>
        <v>September</v>
      </c>
      <c r="J565" s="52" t="s">
        <v>257</v>
      </c>
      <c r="K565" s="53">
        <v>75226</v>
      </c>
      <c r="L565" s="163">
        <v>2</v>
      </c>
    </row>
    <row r="566" spans="1:12" x14ac:dyDescent="0.25">
      <c r="A566" s="158" t="s">
        <v>390</v>
      </c>
      <c r="B566" s="158" t="s">
        <v>856</v>
      </c>
      <c r="C566" s="168" t="s">
        <v>285</v>
      </c>
      <c r="D566" s="167">
        <v>9194479196</v>
      </c>
      <c r="E566" s="166">
        <v>323701315</v>
      </c>
      <c r="F566" s="158" t="s">
        <v>256</v>
      </c>
      <c r="G566" s="165">
        <v>41309</v>
      </c>
      <c r="H566" s="51">
        <f t="shared" ca="1" si="16"/>
        <v>3</v>
      </c>
      <c r="I566" s="164" t="str">
        <f t="shared" si="17"/>
        <v>February</v>
      </c>
      <c r="J566" s="52" t="s">
        <v>267</v>
      </c>
      <c r="K566" s="53">
        <v>96312</v>
      </c>
      <c r="L566" s="163">
        <v>3</v>
      </c>
    </row>
    <row r="567" spans="1:12" x14ac:dyDescent="0.25">
      <c r="A567" s="158" t="s">
        <v>704</v>
      </c>
      <c r="B567" s="158" t="s">
        <v>856</v>
      </c>
      <c r="C567" s="168" t="s">
        <v>271</v>
      </c>
      <c r="D567" s="167">
        <v>9198252392</v>
      </c>
      <c r="E567" s="166">
        <v>412159105</v>
      </c>
      <c r="F567" s="158" t="s">
        <v>252</v>
      </c>
      <c r="G567" s="165">
        <v>36130</v>
      </c>
      <c r="H567" s="51">
        <f t="shared" ca="1" si="16"/>
        <v>17</v>
      </c>
      <c r="I567" s="164" t="str">
        <f t="shared" si="17"/>
        <v>December</v>
      </c>
      <c r="J567" s="52"/>
      <c r="K567" s="53">
        <v>40210</v>
      </c>
      <c r="L567" s="163">
        <v>4</v>
      </c>
    </row>
    <row r="568" spans="1:12" x14ac:dyDescent="0.25">
      <c r="A568" s="158" t="s">
        <v>469</v>
      </c>
      <c r="B568" s="158" t="s">
        <v>856</v>
      </c>
      <c r="C568" s="168" t="s">
        <v>245</v>
      </c>
      <c r="D568" s="167">
        <v>2524563177</v>
      </c>
      <c r="E568" s="166">
        <v>291274360</v>
      </c>
      <c r="F568" s="158" t="s">
        <v>256</v>
      </c>
      <c r="G568" s="165">
        <v>36809</v>
      </c>
      <c r="H568" s="51">
        <f t="shared" ca="1" si="16"/>
        <v>16</v>
      </c>
      <c r="I568" s="164" t="str">
        <f t="shared" si="17"/>
        <v>October</v>
      </c>
      <c r="J568" s="52" t="s">
        <v>283</v>
      </c>
      <c r="K568" s="53">
        <v>80888</v>
      </c>
      <c r="L568" s="163">
        <v>5</v>
      </c>
    </row>
    <row r="569" spans="1:12" x14ac:dyDescent="0.25">
      <c r="A569" s="158" t="s">
        <v>306</v>
      </c>
      <c r="B569" s="158" t="s">
        <v>856</v>
      </c>
      <c r="C569" s="168" t="s">
        <v>271</v>
      </c>
      <c r="D569" s="167">
        <v>2521868104</v>
      </c>
      <c r="E569" s="166">
        <v>102159909</v>
      </c>
      <c r="F569" s="158" t="s">
        <v>252</v>
      </c>
      <c r="G569" s="165">
        <v>35073</v>
      </c>
      <c r="H569" s="51">
        <f t="shared" ca="1" si="16"/>
        <v>20</v>
      </c>
      <c r="I569" s="164" t="str">
        <f t="shared" si="17"/>
        <v>January</v>
      </c>
      <c r="J569" s="52"/>
      <c r="K569" s="53">
        <v>44146</v>
      </c>
      <c r="L569" s="163">
        <v>4</v>
      </c>
    </row>
    <row r="570" spans="1:12" x14ac:dyDescent="0.25">
      <c r="A570" s="158" t="s">
        <v>935</v>
      </c>
      <c r="B570" s="158" t="s">
        <v>856</v>
      </c>
      <c r="C570" s="168" t="s">
        <v>271</v>
      </c>
      <c r="D570" s="167">
        <v>2523838954</v>
      </c>
      <c r="E570" s="166">
        <v>709234421</v>
      </c>
      <c r="F570" s="158" t="s">
        <v>256</v>
      </c>
      <c r="G570" s="165">
        <v>35482</v>
      </c>
      <c r="H570" s="51">
        <f t="shared" ca="1" si="16"/>
        <v>19</v>
      </c>
      <c r="I570" s="164" t="str">
        <f t="shared" si="17"/>
        <v>February</v>
      </c>
      <c r="J570" s="52" t="s">
        <v>257</v>
      </c>
      <c r="K570" s="53">
        <v>46800</v>
      </c>
      <c r="L570" s="163">
        <v>5</v>
      </c>
    </row>
    <row r="571" spans="1:12" x14ac:dyDescent="0.25">
      <c r="A571" s="158" t="s">
        <v>865</v>
      </c>
      <c r="B571" s="158" t="s">
        <v>856</v>
      </c>
      <c r="C571" s="168" t="s">
        <v>285</v>
      </c>
      <c r="D571" s="167">
        <v>9197963782</v>
      </c>
      <c r="E571" s="166">
        <v>110726520</v>
      </c>
      <c r="F571" s="158" t="s">
        <v>256</v>
      </c>
      <c r="G571" s="165">
        <v>36225</v>
      </c>
      <c r="H571" s="51">
        <f t="shared" ca="1" si="16"/>
        <v>17</v>
      </c>
      <c r="I571" s="164" t="str">
        <f t="shared" si="17"/>
        <v>March</v>
      </c>
      <c r="J571" s="52" t="s">
        <v>257</v>
      </c>
      <c r="K571" s="53">
        <v>94452</v>
      </c>
      <c r="L571" s="163">
        <v>4</v>
      </c>
    </row>
    <row r="572" spans="1:12" x14ac:dyDescent="0.25">
      <c r="A572" s="158" t="s">
        <v>477</v>
      </c>
      <c r="B572" s="158" t="s">
        <v>856</v>
      </c>
      <c r="C572" s="168" t="s">
        <v>271</v>
      </c>
      <c r="D572" s="167">
        <v>9195804771</v>
      </c>
      <c r="E572" s="166">
        <v>718930584</v>
      </c>
      <c r="F572" s="158" t="s">
        <v>261</v>
      </c>
      <c r="G572" s="165">
        <v>36924</v>
      </c>
      <c r="H572" s="51">
        <f t="shared" ca="1" si="16"/>
        <v>15</v>
      </c>
      <c r="I572" s="164" t="str">
        <f t="shared" si="17"/>
        <v>February</v>
      </c>
      <c r="J572" s="52" t="s">
        <v>257</v>
      </c>
      <c r="K572" s="53">
        <v>41976</v>
      </c>
      <c r="L572" s="163">
        <v>2</v>
      </c>
    </row>
    <row r="573" spans="1:12" x14ac:dyDescent="0.25">
      <c r="A573" s="158" t="s">
        <v>867</v>
      </c>
      <c r="B573" s="158" t="s">
        <v>856</v>
      </c>
      <c r="C573" s="168" t="s">
        <v>285</v>
      </c>
      <c r="D573" s="170">
        <v>9193355152</v>
      </c>
      <c r="E573" s="166">
        <v>784064156</v>
      </c>
      <c r="F573" s="158" t="s">
        <v>256</v>
      </c>
      <c r="G573" s="165">
        <v>34332</v>
      </c>
      <c r="H573" s="51">
        <f t="shared" ca="1" si="16"/>
        <v>22</v>
      </c>
      <c r="I573" s="164" t="str">
        <f t="shared" si="17"/>
        <v>December</v>
      </c>
      <c r="J573" s="52" t="s">
        <v>257</v>
      </c>
      <c r="K573" s="53">
        <v>65796</v>
      </c>
      <c r="L573" s="163">
        <v>1</v>
      </c>
    </row>
    <row r="574" spans="1:12" x14ac:dyDescent="0.25">
      <c r="A574" s="158" t="s">
        <v>457</v>
      </c>
      <c r="B574" s="158" t="s">
        <v>856</v>
      </c>
      <c r="C574" s="168" t="s">
        <v>266</v>
      </c>
      <c r="D574" s="167">
        <v>2528502926</v>
      </c>
      <c r="E574" s="166">
        <v>781472289</v>
      </c>
      <c r="F574" s="158" t="s">
        <v>256</v>
      </c>
      <c r="G574" s="165">
        <v>34276</v>
      </c>
      <c r="H574" s="51">
        <f t="shared" ca="1" si="16"/>
        <v>23</v>
      </c>
      <c r="I574" s="164" t="str">
        <f t="shared" si="17"/>
        <v>November</v>
      </c>
      <c r="J574" s="52" t="s">
        <v>283</v>
      </c>
      <c r="K574" s="53">
        <v>75660</v>
      </c>
      <c r="L574" s="163">
        <v>3</v>
      </c>
    </row>
    <row r="575" spans="1:12" x14ac:dyDescent="0.25">
      <c r="A575" s="158" t="s">
        <v>491</v>
      </c>
      <c r="B575" s="158" t="s">
        <v>856</v>
      </c>
      <c r="C575" s="168" t="s">
        <v>271</v>
      </c>
      <c r="D575" s="167">
        <v>9192390604</v>
      </c>
      <c r="E575" s="166">
        <v>975857784</v>
      </c>
      <c r="F575" s="158" t="s">
        <v>247</v>
      </c>
      <c r="G575" s="165">
        <v>37370</v>
      </c>
      <c r="H575" s="51">
        <f t="shared" ca="1" si="16"/>
        <v>14</v>
      </c>
      <c r="I575" s="164" t="str">
        <f t="shared" si="17"/>
        <v>April</v>
      </c>
      <c r="J575" s="52"/>
      <c r="K575" s="53">
        <v>93312</v>
      </c>
      <c r="L575" s="163">
        <v>3</v>
      </c>
    </row>
    <row r="576" spans="1:12" x14ac:dyDescent="0.25">
      <c r="A576" s="158" t="s">
        <v>420</v>
      </c>
      <c r="B576" s="158" t="s">
        <v>856</v>
      </c>
      <c r="C576" s="168" t="s">
        <v>280</v>
      </c>
      <c r="D576" s="167">
        <v>9198244224</v>
      </c>
      <c r="E576" s="166">
        <v>269873478</v>
      </c>
      <c r="F576" s="158" t="s">
        <v>256</v>
      </c>
      <c r="G576" s="165">
        <v>36443</v>
      </c>
      <c r="H576" s="51">
        <f t="shared" ca="1" si="16"/>
        <v>17</v>
      </c>
      <c r="I576" s="164" t="str">
        <f t="shared" si="17"/>
        <v>October</v>
      </c>
      <c r="J576" s="52" t="s">
        <v>283</v>
      </c>
      <c r="K576" s="53">
        <v>38544</v>
      </c>
      <c r="L576" s="163">
        <v>1</v>
      </c>
    </row>
    <row r="577" spans="1:12" x14ac:dyDescent="0.25">
      <c r="A577" s="158" t="s">
        <v>499</v>
      </c>
      <c r="B577" s="158" t="s">
        <v>856</v>
      </c>
      <c r="C577" s="168" t="s">
        <v>251</v>
      </c>
      <c r="D577" s="167">
        <v>9192822520</v>
      </c>
      <c r="E577" s="166">
        <v>626501093</v>
      </c>
      <c r="F577" s="158" t="s">
        <v>247</v>
      </c>
      <c r="G577" s="165">
        <v>38755</v>
      </c>
      <c r="H577" s="51">
        <f t="shared" ca="1" si="16"/>
        <v>10</v>
      </c>
      <c r="I577" s="164" t="str">
        <f t="shared" si="17"/>
        <v>February</v>
      </c>
      <c r="J577" s="52"/>
      <c r="K577" s="53">
        <v>77508</v>
      </c>
      <c r="L577" s="163">
        <v>1</v>
      </c>
    </row>
    <row r="578" spans="1:12" x14ac:dyDescent="0.25">
      <c r="A578" s="158" t="s">
        <v>752</v>
      </c>
      <c r="B578" s="158" t="s">
        <v>856</v>
      </c>
      <c r="C578" s="168" t="s">
        <v>266</v>
      </c>
      <c r="D578" s="167">
        <v>9191155509</v>
      </c>
      <c r="E578" s="166">
        <v>878902154</v>
      </c>
      <c r="F578" s="158" t="s">
        <v>261</v>
      </c>
      <c r="G578" s="165">
        <v>34618</v>
      </c>
      <c r="H578" s="51">
        <f t="shared" ref="H578:H641" ca="1" si="18">DATEDIF(G578,TODAY(),"Y")</f>
        <v>22</v>
      </c>
      <c r="I578" s="164" t="str">
        <f t="shared" ref="I578:I641" si="19">CHOOSE(MONTH(G578),"January","February","March","April","May","June","July","August","September","October","November","December")</f>
        <v>October</v>
      </c>
      <c r="J578" s="52" t="s">
        <v>283</v>
      </c>
      <c r="K578" s="53">
        <v>31062</v>
      </c>
      <c r="L578" s="163">
        <v>5</v>
      </c>
    </row>
    <row r="579" spans="1:12" x14ac:dyDescent="0.25">
      <c r="A579" s="158" t="s">
        <v>872</v>
      </c>
      <c r="B579" s="158" t="s">
        <v>856</v>
      </c>
      <c r="C579" s="168" t="s">
        <v>285</v>
      </c>
      <c r="D579" s="167">
        <v>9196098293</v>
      </c>
      <c r="E579" s="166">
        <v>744830329</v>
      </c>
      <c r="F579" s="158" t="s">
        <v>256</v>
      </c>
      <c r="G579" s="165">
        <v>35528</v>
      </c>
      <c r="H579" s="51">
        <f t="shared" ca="1" si="18"/>
        <v>19</v>
      </c>
      <c r="I579" s="164" t="str">
        <f t="shared" si="19"/>
        <v>April</v>
      </c>
      <c r="J579" s="52" t="s">
        <v>262</v>
      </c>
      <c r="K579" s="53">
        <v>99240</v>
      </c>
      <c r="L579" s="163">
        <v>3</v>
      </c>
    </row>
    <row r="580" spans="1:12" x14ac:dyDescent="0.25">
      <c r="A580" s="158" t="s">
        <v>943</v>
      </c>
      <c r="B580" s="158" t="s">
        <v>856</v>
      </c>
      <c r="C580" s="168" t="s">
        <v>285</v>
      </c>
      <c r="D580" s="167">
        <v>2526801348</v>
      </c>
      <c r="E580" s="166">
        <v>826508763</v>
      </c>
      <c r="F580" s="158" t="s">
        <v>256</v>
      </c>
      <c r="G580" s="165">
        <v>40473</v>
      </c>
      <c r="H580" s="51">
        <f t="shared" ca="1" si="18"/>
        <v>6</v>
      </c>
      <c r="I580" s="164" t="str">
        <f t="shared" si="19"/>
        <v>October</v>
      </c>
      <c r="J580" s="52" t="s">
        <v>283</v>
      </c>
      <c r="K580" s="53">
        <v>35196</v>
      </c>
      <c r="L580" s="163">
        <v>5</v>
      </c>
    </row>
    <row r="581" spans="1:12" x14ac:dyDescent="0.25">
      <c r="A581" s="158" t="s">
        <v>318</v>
      </c>
      <c r="B581" s="158" t="s">
        <v>856</v>
      </c>
      <c r="C581" s="168" t="s">
        <v>285</v>
      </c>
      <c r="D581" s="167">
        <v>2521240785</v>
      </c>
      <c r="E581" s="166">
        <v>647131956</v>
      </c>
      <c r="F581" s="158" t="s">
        <v>256</v>
      </c>
      <c r="G581" s="165">
        <v>39630</v>
      </c>
      <c r="H581" s="51">
        <f t="shared" ca="1" si="18"/>
        <v>8</v>
      </c>
      <c r="I581" s="164" t="str">
        <f t="shared" si="19"/>
        <v>July</v>
      </c>
      <c r="J581" s="52" t="s">
        <v>257</v>
      </c>
      <c r="K581" s="53">
        <v>88272</v>
      </c>
      <c r="L581" s="163">
        <v>3</v>
      </c>
    </row>
    <row r="582" spans="1:12" x14ac:dyDescent="0.25">
      <c r="A582" s="158" t="s">
        <v>945</v>
      </c>
      <c r="B582" s="158" t="s">
        <v>856</v>
      </c>
      <c r="C582" s="168" t="s">
        <v>285</v>
      </c>
      <c r="D582" s="167">
        <v>9194729409</v>
      </c>
      <c r="E582" s="166">
        <v>337411408</v>
      </c>
      <c r="F582" s="158" t="s">
        <v>256</v>
      </c>
      <c r="G582" s="165">
        <v>37254</v>
      </c>
      <c r="H582" s="51">
        <f t="shared" ca="1" si="18"/>
        <v>14</v>
      </c>
      <c r="I582" s="164" t="str">
        <f t="shared" si="19"/>
        <v>December</v>
      </c>
      <c r="J582" s="52" t="s">
        <v>257</v>
      </c>
      <c r="K582" s="53">
        <v>35112</v>
      </c>
      <c r="L582" s="163">
        <v>4</v>
      </c>
    </row>
    <row r="583" spans="1:12" x14ac:dyDescent="0.25">
      <c r="A583" s="158" t="s">
        <v>873</v>
      </c>
      <c r="B583" s="158" t="s">
        <v>856</v>
      </c>
      <c r="C583" s="168" t="s">
        <v>245</v>
      </c>
      <c r="D583" s="167">
        <v>2524316324</v>
      </c>
      <c r="E583" s="166">
        <v>357568979</v>
      </c>
      <c r="F583" s="158" t="s">
        <v>261</v>
      </c>
      <c r="G583" s="165">
        <v>38503</v>
      </c>
      <c r="H583" s="51">
        <f t="shared" ca="1" si="18"/>
        <v>11</v>
      </c>
      <c r="I583" s="164" t="str">
        <f t="shared" si="19"/>
        <v>May</v>
      </c>
      <c r="J583" s="52" t="s">
        <v>262</v>
      </c>
      <c r="K583" s="53">
        <v>34230</v>
      </c>
      <c r="L583" s="163">
        <v>4</v>
      </c>
    </row>
    <row r="584" spans="1:12" x14ac:dyDescent="0.25">
      <c r="A584" s="158" t="s">
        <v>788</v>
      </c>
      <c r="B584" s="158" t="s">
        <v>856</v>
      </c>
      <c r="C584" s="168" t="s">
        <v>245</v>
      </c>
      <c r="D584" s="167">
        <v>2525013435</v>
      </c>
      <c r="E584" s="166">
        <v>765836666</v>
      </c>
      <c r="F584" s="158" t="s">
        <v>256</v>
      </c>
      <c r="G584" s="165">
        <v>39881</v>
      </c>
      <c r="H584" s="51">
        <f t="shared" ca="1" si="18"/>
        <v>7</v>
      </c>
      <c r="I584" s="164" t="str">
        <f t="shared" si="19"/>
        <v>March</v>
      </c>
      <c r="J584" s="52" t="s">
        <v>283</v>
      </c>
      <c r="K584" s="53">
        <v>52320</v>
      </c>
      <c r="L584" s="163">
        <v>5</v>
      </c>
    </row>
    <row r="585" spans="1:12" x14ac:dyDescent="0.25">
      <c r="A585" s="158" t="s">
        <v>512</v>
      </c>
      <c r="B585" s="158" t="s">
        <v>856</v>
      </c>
      <c r="C585" s="168" t="s">
        <v>285</v>
      </c>
      <c r="D585" s="167">
        <v>2522238881</v>
      </c>
      <c r="E585" s="166">
        <v>489667166</v>
      </c>
      <c r="F585" s="158" t="s">
        <v>256</v>
      </c>
      <c r="G585" s="165">
        <v>37135</v>
      </c>
      <c r="H585" s="51">
        <f t="shared" ca="1" si="18"/>
        <v>15</v>
      </c>
      <c r="I585" s="164" t="str">
        <f t="shared" si="19"/>
        <v>September</v>
      </c>
      <c r="J585" s="52" t="s">
        <v>262</v>
      </c>
      <c r="K585" s="53">
        <v>55056</v>
      </c>
      <c r="L585" s="163">
        <v>5</v>
      </c>
    </row>
    <row r="586" spans="1:12" x14ac:dyDescent="0.25">
      <c r="A586" s="158" t="s">
        <v>949</v>
      </c>
      <c r="B586" s="158" t="s">
        <v>856</v>
      </c>
      <c r="C586" s="168" t="s">
        <v>271</v>
      </c>
      <c r="D586" s="167">
        <v>2524111882</v>
      </c>
      <c r="E586" s="166">
        <v>562497973</v>
      </c>
      <c r="F586" s="158" t="s">
        <v>256</v>
      </c>
      <c r="G586" s="165">
        <v>36084</v>
      </c>
      <c r="H586" s="51">
        <f t="shared" ca="1" si="18"/>
        <v>18</v>
      </c>
      <c r="I586" s="164" t="str">
        <f t="shared" si="19"/>
        <v>October</v>
      </c>
      <c r="J586" s="52" t="s">
        <v>262</v>
      </c>
      <c r="K586" s="53">
        <v>75636</v>
      </c>
      <c r="L586" s="163">
        <v>1</v>
      </c>
    </row>
    <row r="587" spans="1:12" x14ac:dyDescent="0.25">
      <c r="A587" s="169" t="s">
        <v>278</v>
      </c>
      <c r="B587" s="158" t="s">
        <v>856</v>
      </c>
      <c r="C587" s="168" t="s">
        <v>285</v>
      </c>
      <c r="D587" s="167">
        <v>2528678875</v>
      </c>
      <c r="E587" s="166">
        <v>331251341</v>
      </c>
      <c r="F587" s="158" t="s">
        <v>256</v>
      </c>
      <c r="G587" s="165">
        <v>36624</v>
      </c>
      <c r="H587" s="51">
        <f t="shared" ca="1" si="18"/>
        <v>16</v>
      </c>
      <c r="I587" s="164" t="str">
        <f t="shared" si="19"/>
        <v>April</v>
      </c>
      <c r="J587" s="52" t="s">
        <v>283</v>
      </c>
      <c r="K587" s="53">
        <v>84336</v>
      </c>
      <c r="L587" s="163">
        <v>3</v>
      </c>
    </row>
    <row r="588" spans="1:12" x14ac:dyDescent="0.25">
      <c r="A588" s="158" t="s">
        <v>639</v>
      </c>
      <c r="B588" s="158" t="s">
        <v>856</v>
      </c>
      <c r="C588" s="168" t="s">
        <v>271</v>
      </c>
      <c r="D588" s="167">
        <v>9198545681</v>
      </c>
      <c r="E588" s="166">
        <v>843632637</v>
      </c>
      <c r="F588" s="158" t="s">
        <v>252</v>
      </c>
      <c r="G588" s="165">
        <v>36589</v>
      </c>
      <c r="H588" s="51">
        <f t="shared" ca="1" si="18"/>
        <v>16</v>
      </c>
      <c r="I588" s="164" t="str">
        <f t="shared" si="19"/>
        <v>March</v>
      </c>
      <c r="J588" s="52"/>
      <c r="K588" s="53">
        <v>15403</v>
      </c>
      <c r="L588" s="163">
        <v>5</v>
      </c>
    </row>
    <row r="589" spans="1:12" x14ac:dyDescent="0.25">
      <c r="A589" s="158" t="s">
        <v>803</v>
      </c>
      <c r="B589" s="158" t="s">
        <v>856</v>
      </c>
      <c r="C589" s="168" t="s">
        <v>271</v>
      </c>
      <c r="D589" s="167">
        <v>9198097539</v>
      </c>
      <c r="E589" s="166">
        <v>180832423</v>
      </c>
      <c r="F589" s="158" t="s">
        <v>256</v>
      </c>
      <c r="G589" s="165">
        <v>36806</v>
      </c>
      <c r="H589" s="51">
        <f t="shared" ca="1" si="18"/>
        <v>16</v>
      </c>
      <c r="I589" s="164" t="str">
        <f t="shared" si="19"/>
        <v>October</v>
      </c>
      <c r="J589" s="52" t="s">
        <v>276</v>
      </c>
      <c r="K589" s="53">
        <v>95532</v>
      </c>
      <c r="L589" s="163">
        <v>2</v>
      </c>
    </row>
    <row r="590" spans="1:12" x14ac:dyDescent="0.25">
      <c r="A590" s="158" t="s">
        <v>1033</v>
      </c>
      <c r="B590" s="158" t="s">
        <v>856</v>
      </c>
      <c r="C590" s="168" t="s">
        <v>285</v>
      </c>
      <c r="D590" s="167">
        <v>2526306545</v>
      </c>
      <c r="E590" s="166">
        <v>622200296</v>
      </c>
      <c r="F590" s="158" t="s">
        <v>256</v>
      </c>
      <c r="G590" s="165">
        <v>34413</v>
      </c>
      <c r="H590" s="51">
        <f t="shared" ca="1" si="18"/>
        <v>22</v>
      </c>
      <c r="I590" s="164" t="str">
        <f t="shared" si="19"/>
        <v>March</v>
      </c>
      <c r="J590" s="52" t="s">
        <v>257</v>
      </c>
      <c r="K590" s="53">
        <v>78685</v>
      </c>
      <c r="L590" s="163">
        <v>3</v>
      </c>
    </row>
    <row r="591" spans="1:12" x14ac:dyDescent="0.25">
      <c r="A591" s="158" t="s">
        <v>523</v>
      </c>
      <c r="B591" s="158" t="s">
        <v>856</v>
      </c>
      <c r="C591" s="168" t="s">
        <v>271</v>
      </c>
      <c r="D591" s="167">
        <v>2526584511</v>
      </c>
      <c r="E591" s="166">
        <v>277925508</v>
      </c>
      <c r="F591" s="158" t="s">
        <v>256</v>
      </c>
      <c r="G591" s="165">
        <v>36101</v>
      </c>
      <c r="H591" s="51">
        <f t="shared" ca="1" si="18"/>
        <v>18</v>
      </c>
      <c r="I591" s="164" t="str">
        <f t="shared" si="19"/>
        <v>November</v>
      </c>
      <c r="J591" s="52" t="s">
        <v>283</v>
      </c>
      <c r="K591" s="53">
        <v>79728</v>
      </c>
      <c r="L591" s="163">
        <v>3</v>
      </c>
    </row>
    <row r="592" spans="1:12" x14ac:dyDescent="0.25">
      <c r="A592" s="158" t="s">
        <v>641</v>
      </c>
      <c r="B592" s="158" t="s">
        <v>856</v>
      </c>
      <c r="C592" s="168" t="s">
        <v>271</v>
      </c>
      <c r="D592" s="167">
        <v>2521525844</v>
      </c>
      <c r="E592" s="166">
        <v>627977314</v>
      </c>
      <c r="F592" s="158" t="s">
        <v>256</v>
      </c>
      <c r="G592" s="165">
        <v>34580</v>
      </c>
      <c r="H592" s="51">
        <f t="shared" ca="1" si="18"/>
        <v>22</v>
      </c>
      <c r="I592" s="164" t="str">
        <f t="shared" si="19"/>
        <v>September</v>
      </c>
      <c r="J592" s="52" t="s">
        <v>276</v>
      </c>
      <c r="K592" s="53">
        <v>103488</v>
      </c>
      <c r="L592" s="163">
        <v>1</v>
      </c>
    </row>
    <row r="593" spans="1:12" x14ac:dyDescent="0.25">
      <c r="A593" s="158" t="s">
        <v>758</v>
      </c>
      <c r="B593" s="158" t="s">
        <v>856</v>
      </c>
      <c r="C593" s="168" t="s">
        <v>285</v>
      </c>
      <c r="D593" s="167">
        <v>2524269081</v>
      </c>
      <c r="E593" s="166">
        <v>351003584</v>
      </c>
      <c r="F593" s="158" t="s">
        <v>247</v>
      </c>
      <c r="G593" s="165">
        <v>36942</v>
      </c>
      <c r="H593" s="51">
        <f t="shared" ca="1" si="18"/>
        <v>15</v>
      </c>
      <c r="I593" s="164" t="str">
        <f t="shared" si="19"/>
        <v>February</v>
      </c>
      <c r="J593" s="52"/>
      <c r="K593" s="53">
        <v>63972</v>
      </c>
      <c r="L593" s="163">
        <v>5</v>
      </c>
    </row>
    <row r="594" spans="1:12" x14ac:dyDescent="0.25">
      <c r="A594" s="158" t="s">
        <v>621</v>
      </c>
      <c r="B594" s="158" t="s">
        <v>856</v>
      </c>
      <c r="C594" s="168" t="s">
        <v>285</v>
      </c>
      <c r="D594" s="167">
        <v>2526732103</v>
      </c>
      <c r="E594" s="166">
        <v>135633006</v>
      </c>
      <c r="F594" s="158" t="s">
        <v>247</v>
      </c>
      <c r="G594" s="165">
        <v>37207</v>
      </c>
      <c r="H594" s="51">
        <f t="shared" ca="1" si="18"/>
        <v>15</v>
      </c>
      <c r="I594" s="164" t="str">
        <f t="shared" si="19"/>
        <v>November</v>
      </c>
      <c r="J594" s="52"/>
      <c r="K594" s="53">
        <v>65808</v>
      </c>
      <c r="L594" s="163">
        <v>4</v>
      </c>
    </row>
    <row r="595" spans="1:12" x14ac:dyDescent="0.25">
      <c r="A595" s="158" t="s">
        <v>332</v>
      </c>
      <c r="B595" s="158" t="s">
        <v>856</v>
      </c>
      <c r="C595" s="168" t="s">
        <v>266</v>
      </c>
      <c r="D595" s="167">
        <v>2522447501</v>
      </c>
      <c r="E595" s="166">
        <v>687623890</v>
      </c>
      <c r="F595" s="158" t="s">
        <v>252</v>
      </c>
      <c r="G595" s="165">
        <v>35762</v>
      </c>
      <c r="H595" s="51">
        <f t="shared" ca="1" si="18"/>
        <v>18</v>
      </c>
      <c r="I595" s="164" t="str">
        <f t="shared" si="19"/>
        <v>November</v>
      </c>
      <c r="J595" s="52"/>
      <c r="K595" s="53">
        <v>28430</v>
      </c>
      <c r="L595" s="163">
        <v>4</v>
      </c>
    </row>
    <row r="596" spans="1:12" x14ac:dyDescent="0.25">
      <c r="A596" s="158" t="s">
        <v>334</v>
      </c>
      <c r="B596" s="158" t="s">
        <v>856</v>
      </c>
      <c r="C596" s="168" t="s">
        <v>271</v>
      </c>
      <c r="D596" s="167">
        <v>9191952821</v>
      </c>
      <c r="E596" s="166">
        <v>668708287</v>
      </c>
      <c r="F596" s="158" t="s">
        <v>247</v>
      </c>
      <c r="G596" s="165">
        <v>36534</v>
      </c>
      <c r="H596" s="51">
        <f t="shared" ca="1" si="18"/>
        <v>16</v>
      </c>
      <c r="I596" s="164" t="str">
        <f t="shared" si="19"/>
        <v>January</v>
      </c>
      <c r="J596" s="52"/>
      <c r="K596" s="53">
        <v>103320</v>
      </c>
      <c r="L596" s="163">
        <v>4</v>
      </c>
    </row>
    <row r="597" spans="1:12" x14ac:dyDescent="0.25">
      <c r="A597" s="158" t="s">
        <v>971</v>
      </c>
      <c r="B597" s="158" t="s">
        <v>856</v>
      </c>
      <c r="C597" s="168" t="s">
        <v>245</v>
      </c>
      <c r="D597" s="167">
        <v>2522889182</v>
      </c>
      <c r="E597" s="166">
        <v>426014550</v>
      </c>
      <c r="F597" s="158" t="s">
        <v>256</v>
      </c>
      <c r="G597" s="165">
        <v>36179</v>
      </c>
      <c r="H597" s="51">
        <f t="shared" ca="1" si="18"/>
        <v>17</v>
      </c>
      <c r="I597" s="164" t="str">
        <f t="shared" si="19"/>
        <v>January</v>
      </c>
      <c r="J597" s="52" t="s">
        <v>276</v>
      </c>
      <c r="K597" s="53">
        <v>75558</v>
      </c>
      <c r="L597" s="163">
        <v>1</v>
      </c>
    </row>
    <row r="598" spans="1:12" x14ac:dyDescent="0.25">
      <c r="A598" s="158" t="s">
        <v>648</v>
      </c>
      <c r="B598" s="158" t="s">
        <v>856</v>
      </c>
      <c r="C598" s="168" t="s">
        <v>271</v>
      </c>
      <c r="D598" s="167">
        <v>2528433766</v>
      </c>
      <c r="E598" s="166">
        <v>750581894</v>
      </c>
      <c r="F598" s="158" t="s">
        <v>247</v>
      </c>
      <c r="G598" s="165">
        <v>41078</v>
      </c>
      <c r="H598" s="51">
        <f t="shared" ca="1" si="18"/>
        <v>4</v>
      </c>
      <c r="I598" s="164" t="str">
        <f t="shared" si="19"/>
        <v>June</v>
      </c>
      <c r="J598" s="52"/>
      <c r="K598" s="53">
        <v>25896</v>
      </c>
      <c r="L598" s="163">
        <v>3</v>
      </c>
    </row>
    <row r="599" spans="1:12" x14ac:dyDescent="0.25">
      <c r="A599" s="158" t="s">
        <v>386</v>
      </c>
      <c r="B599" s="158" t="s">
        <v>856</v>
      </c>
      <c r="C599" s="168" t="s">
        <v>271</v>
      </c>
      <c r="D599" s="167">
        <v>2526458440</v>
      </c>
      <c r="E599" s="166">
        <v>548704405</v>
      </c>
      <c r="F599" s="158" t="s">
        <v>247</v>
      </c>
      <c r="G599" s="165">
        <v>37134</v>
      </c>
      <c r="H599" s="51">
        <f t="shared" ca="1" si="18"/>
        <v>15</v>
      </c>
      <c r="I599" s="164" t="str">
        <f t="shared" si="19"/>
        <v>August</v>
      </c>
      <c r="J599" s="52"/>
      <c r="K599" s="53">
        <v>72960</v>
      </c>
      <c r="L599" s="163">
        <v>4</v>
      </c>
    </row>
    <row r="600" spans="1:12" x14ac:dyDescent="0.25">
      <c r="A600" s="158" t="s">
        <v>759</v>
      </c>
      <c r="B600" s="158" t="s">
        <v>856</v>
      </c>
      <c r="C600" s="168" t="s">
        <v>285</v>
      </c>
      <c r="D600" s="167">
        <v>9195866887</v>
      </c>
      <c r="E600" s="166">
        <v>693055639</v>
      </c>
      <c r="F600" s="158" t="s">
        <v>256</v>
      </c>
      <c r="G600" s="165">
        <v>33950</v>
      </c>
      <c r="H600" s="51">
        <f t="shared" ca="1" si="18"/>
        <v>23</v>
      </c>
      <c r="I600" s="164" t="str">
        <f t="shared" si="19"/>
        <v>December</v>
      </c>
      <c r="J600" s="52" t="s">
        <v>257</v>
      </c>
      <c r="K600" s="53">
        <v>64680</v>
      </c>
      <c r="L600" s="163">
        <v>5</v>
      </c>
    </row>
    <row r="601" spans="1:12" x14ac:dyDescent="0.25">
      <c r="A601" s="158" t="s">
        <v>896</v>
      </c>
      <c r="B601" s="158" t="s">
        <v>856</v>
      </c>
      <c r="C601" s="168" t="s">
        <v>251</v>
      </c>
      <c r="D601" s="167">
        <v>2527126482</v>
      </c>
      <c r="E601" s="166">
        <v>462461365</v>
      </c>
      <c r="F601" s="158" t="s">
        <v>256</v>
      </c>
      <c r="G601" s="165">
        <v>34749</v>
      </c>
      <c r="H601" s="51">
        <f t="shared" ca="1" si="18"/>
        <v>21</v>
      </c>
      <c r="I601" s="164" t="str">
        <f t="shared" si="19"/>
        <v>February</v>
      </c>
      <c r="J601" s="52" t="s">
        <v>283</v>
      </c>
      <c r="K601" s="53">
        <v>54132</v>
      </c>
      <c r="L601" s="163">
        <v>2</v>
      </c>
    </row>
    <row r="602" spans="1:12" x14ac:dyDescent="0.25">
      <c r="A602" s="158" t="s">
        <v>978</v>
      </c>
      <c r="B602" s="158" t="s">
        <v>856</v>
      </c>
      <c r="C602" s="168" t="s">
        <v>285</v>
      </c>
      <c r="D602" s="167">
        <v>9194919822</v>
      </c>
      <c r="E602" s="166">
        <v>708082156</v>
      </c>
      <c r="F602" s="158" t="s">
        <v>256</v>
      </c>
      <c r="G602" s="165">
        <v>37040</v>
      </c>
      <c r="H602" s="51">
        <f t="shared" ca="1" si="18"/>
        <v>15</v>
      </c>
      <c r="I602" s="164" t="str">
        <f t="shared" si="19"/>
        <v>May</v>
      </c>
      <c r="J602" s="52" t="s">
        <v>257</v>
      </c>
      <c r="K602" s="53">
        <v>83040</v>
      </c>
      <c r="L602" s="163">
        <v>4</v>
      </c>
    </row>
    <row r="603" spans="1:12" x14ac:dyDescent="0.25">
      <c r="A603" s="158" t="s">
        <v>907</v>
      </c>
      <c r="B603" s="158" t="s">
        <v>856</v>
      </c>
      <c r="C603" s="168" t="s">
        <v>245</v>
      </c>
      <c r="D603" s="167">
        <v>9198413896</v>
      </c>
      <c r="E603" s="166">
        <v>649292883</v>
      </c>
      <c r="F603" s="158" t="s">
        <v>256</v>
      </c>
      <c r="G603" s="165">
        <v>38965</v>
      </c>
      <c r="H603" s="51">
        <f t="shared" ca="1" si="18"/>
        <v>10</v>
      </c>
      <c r="I603" s="164" t="str">
        <f t="shared" si="19"/>
        <v>September</v>
      </c>
      <c r="J603" s="52" t="s">
        <v>283</v>
      </c>
      <c r="K603" s="53">
        <v>38292</v>
      </c>
      <c r="L603" s="163">
        <v>5</v>
      </c>
    </row>
    <row r="604" spans="1:12" x14ac:dyDescent="0.25">
      <c r="A604" s="158" t="s">
        <v>438</v>
      </c>
      <c r="B604" s="158" t="s">
        <v>856</v>
      </c>
      <c r="C604" s="168" t="s">
        <v>285</v>
      </c>
      <c r="D604" s="167">
        <v>9197785583</v>
      </c>
      <c r="E604" s="166">
        <v>420739404</v>
      </c>
      <c r="F604" s="158" t="s">
        <v>256</v>
      </c>
      <c r="G604" s="165">
        <v>33997</v>
      </c>
      <c r="H604" s="51">
        <f t="shared" ca="1" si="18"/>
        <v>23</v>
      </c>
      <c r="I604" s="164" t="str">
        <f t="shared" si="19"/>
        <v>January</v>
      </c>
      <c r="J604" s="52" t="s">
        <v>283</v>
      </c>
      <c r="K604" s="53">
        <v>29808</v>
      </c>
      <c r="L604" s="163">
        <v>1</v>
      </c>
    </row>
    <row r="605" spans="1:12" x14ac:dyDescent="0.25">
      <c r="A605" s="158" t="s">
        <v>694</v>
      </c>
      <c r="B605" s="158" t="s">
        <v>856</v>
      </c>
      <c r="C605" s="168" t="s">
        <v>285</v>
      </c>
      <c r="D605" s="167">
        <v>2523631883</v>
      </c>
      <c r="E605" s="166">
        <v>750722934</v>
      </c>
      <c r="F605" s="158" t="s">
        <v>256</v>
      </c>
      <c r="G605" s="165">
        <v>36297</v>
      </c>
      <c r="H605" s="51">
        <f t="shared" ca="1" si="18"/>
        <v>17</v>
      </c>
      <c r="I605" s="164" t="str">
        <f t="shared" si="19"/>
        <v>May</v>
      </c>
      <c r="J605" s="52" t="s">
        <v>283</v>
      </c>
      <c r="K605" s="53">
        <v>45324</v>
      </c>
      <c r="L605" s="163">
        <v>5</v>
      </c>
    </row>
    <row r="606" spans="1:12" x14ac:dyDescent="0.25">
      <c r="A606" s="158" t="s">
        <v>1034</v>
      </c>
      <c r="B606" s="158" t="s">
        <v>856</v>
      </c>
      <c r="C606" s="168" t="s">
        <v>245</v>
      </c>
      <c r="D606" s="167">
        <v>9193976775</v>
      </c>
      <c r="E606" s="166">
        <v>512404764</v>
      </c>
      <c r="F606" s="158" t="s">
        <v>256</v>
      </c>
      <c r="G606" s="165">
        <v>37018</v>
      </c>
      <c r="H606" s="51">
        <f t="shared" ca="1" si="18"/>
        <v>15</v>
      </c>
      <c r="I606" s="164" t="str">
        <f t="shared" si="19"/>
        <v>May</v>
      </c>
      <c r="J606" s="52" t="s">
        <v>283</v>
      </c>
      <c r="K606" s="53">
        <v>46800</v>
      </c>
      <c r="L606" s="163">
        <v>3</v>
      </c>
    </row>
    <row r="607" spans="1:12" x14ac:dyDescent="0.25">
      <c r="A607" s="158" t="s">
        <v>994</v>
      </c>
      <c r="B607" s="158" t="s">
        <v>856</v>
      </c>
      <c r="C607" s="168" t="s">
        <v>280</v>
      </c>
      <c r="D607" s="167">
        <v>9196865606</v>
      </c>
      <c r="E607" s="166">
        <v>619456809</v>
      </c>
      <c r="F607" s="158" t="s">
        <v>261</v>
      </c>
      <c r="G607" s="165">
        <v>36570</v>
      </c>
      <c r="H607" s="51">
        <f t="shared" ca="1" si="18"/>
        <v>16</v>
      </c>
      <c r="I607" s="164" t="str">
        <f t="shared" si="19"/>
        <v>February</v>
      </c>
      <c r="J607" s="52" t="s">
        <v>267</v>
      </c>
      <c r="K607" s="53">
        <v>47436</v>
      </c>
      <c r="L607" s="163">
        <v>5</v>
      </c>
    </row>
    <row r="608" spans="1:12" x14ac:dyDescent="0.25">
      <c r="A608" s="158" t="s">
        <v>568</v>
      </c>
      <c r="B608" s="158" t="s">
        <v>856</v>
      </c>
      <c r="C608" s="168" t="s">
        <v>271</v>
      </c>
      <c r="D608" s="167">
        <v>9192244880</v>
      </c>
      <c r="E608" s="166">
        <v>304024314</v>
      </c>
      <c r="F608" s="158" t="s">
        <v>247</v>
      </c>
      <c r="G608" s="165">
        <v>34149</v>
      </c>
      <c r="H608" s="51">
        <f t="shared" ca="1" si="18"/>
        <v>23</v>
      </c>
      <c r="I608" s="164" t="str">
        <f t="shared" si="19"/>
        <v>June</v>
      </c>
      <c r="J608" s="52"/>
      <c r="K608" s="53">
        <v>55980</v>
      </c>
      <c r="L608" s="163">
        <v>2</v>
      </c>
    </row>
    <row r="609" spans="1:12" x14ac:dyDescent="0.25">
      <c r="A609" s="158" t="s">
        <v>660</v>
      </c>
      <c r="B609" s="158" t="s">
        <v>856</v>
      </c>
      <c r="C609" s="168" t="s">
        <v>245</v>
      </c>
      <c r="D609" s="167">
        <v>2528527032</v>
      </c>
      <c r="E609" s="166">
        <v>186821354</v>
      </c>
      <c r="F609" s="158" t="s">
        <v>256</v>
      </c>
      <c r="G609" s="165">
        <v>34738</v>
      </c>
      <c r="H609" s="51">
        <f t="shared" ca="1" si="18"/>
        <v>21</v>
      </c>
      <c r="I609" s="164" t="str">
        <f t="shared" si="19"/>
        <v>February</v>
      </c>
      <c r="J609" s="52" t="s">
        <v>257</v>
      </c>
      <c r="K609" s="53">
        <v>65124</v>
      </c>
      <c r="L609" s="163">
        <v>3</v>
      </c>
    </row>
    <row r="610" spans="1:12" x14ac:dyDescent="0.25">
      <c r="A610" s="158" t="s">
        <v>348</v>
      </c>
      <c r="B610" s="158" t="s">
        <v>856</v>
      </c>
      <c r="C610" s="168" t="s">
        <v>271</v>
      </c>
      <c r="D610" s="167">
        <v>2522778445</v>
      </c>
      <c r="E610" s="166">
        <v>863736129</v>
      </c>
      <c r="F610" s="158" t="s">
        <v>261</v>
      </c>
      <c r="G610" s="165">
        <v>36416</v>
      </c>
      <c r="H610" s="51">
        <f t="shared" ca="1" si="18"/>
        <v>17</v>
      </c>
      <c r="I610" s="164" t="str">
        <f t="shared" si="19"/>
        <v>September</v>
      </c>
      <c r="J610" s="52" t="s">
        <v>283</v>
      </c>
      <c r="K610" s="53">
        <v>51288</v>
      </c>
      <c r="L610" s="163">
        <v>2</v>
      </c>
    </row>
    <row r="611" spans="1:12" x14ac:dyDescent="0.25">
      <c r="A611" s="169" t="s">
        <v>282</v>
      </c>
      <c r="B611" s="158" t="s">
        <v>856</v>
      </c>
      <c r="C611" s="168" t="s">
        <v>285</v>
      </c>
      <c r="D611" s="167">
        <v>2522869792</v>
      </c>
      <c r="E611" s="166">
        <v>393973492</v>
      </c>
      <c r="F611" s="158" t="s">
        <v>261</v>
      </c>
      <c r="G611" s="165">
        <v>37151</v>
      </c>
      <c r="H611" s="51">
        <f t="shared" ca="1" si="18"/>
        <v>15</v>
      </c>
      <c r="I611" s="164" t="str">
        <f t="shared" si="19"/>
        <v>September</v>
      </c>
      <c r="J611" s="52" t="s">
        <v>276</v>
      </c>
      <c r="K611" s="53">
        <v>56820</v>
      </c>
      <c r="L611" s="163">
        <v>1</v>
      </c>
    </row>
    <row r="612" spans="1:12" x14ac:dyDescent="0.25">
      <c r="A612" s="158" t="s">
        <v>444</v>
      </c>
      <c r="B612" s="158" t="s">
        <v>856</v>
      </c>
      <c r="C612" s="168" t="s">
        <v>280</v>
      </c>
      <c r="D612" s="167">
        <v>9195770085</v>
      </c>
      <c r="E612" s="166">
        <v>531654742</v>
      </c>
      <c r="F612" s="158" t="s">
        <v>256</v>
      </c>
      <c r="G612" s="165">
        <v>38521</v>
      </c>
      <c r="H612" s="51">
        <f t="shared" ca="1" si="18"/>
        <v>11</v>
      </c>
      <c r="I612" s="164" t="str">
        <f t="shared" si="19"/>
        <v>June</v>
      </c>
      <c r="J612" s="52" t="s">
        <v>257</v>
      </c>
      <c r="K612" s="53">
        <v>35052</v>
      </c>
      <c r="L612" s="163">
        <v>5</v>
      </c>
    </row>
    <row r="613" spans="1:12" x14ac:dyDescent="0.25">
      <c r="A613" s="158" t="s">
        <v>1035</v>
      </c>
      <c r="B613" s="158" t="s">
        <v>856</v>
      </c>
      <c r="C613" s="168" t="s">
        <v>251</v>
      </c>
      <c r="D613" s="167">
        <v>9194626281</v>
      </c>
      <c r="E613" s="166">
        <v>593584018</v>
      </c>
      <c r="F613" s="158" t="s">
        <v>256</v>
      </c>
      <c r="G613" s="165">
        <v>34182</v>
      </c>
      <c r="H613" s="51">
        <f t="shared" ca="1" si="18"/>
        <v>23</v>
      </c>
      <c r="I613" s="164" t="str">
        <f t="shared" si="19"/>
        <v>August</v>
      </c>
      <c r="J613" s="52" t="s">
        <v>257</v>
      </c>
      <c r="K613" s="53">
        <v>81504</v>
      </c>
      <c r="L613" s="163">
        <v>4</v>
      </c>
    </row>
    <row r="614" spans="1:12" x14ac:dyDescent="0.25">
      <c r="A614" s="158" t="s">
        <v>666</v>
      </c>
      <c r="B614" s="158" t="s">
        <v>856</v>
      </c>
      <c r="C614" s="168" t="s">
        <v>245</v>
      </c>
      <c r="D614" s="167">
        <v>2526853122</v>
      </c>
      <c r="E614" s="166">
        <v>221347766</v>
      </c>
      <c r="F614" s="158" t="s">
        <v>247</v>
      </c>
      <c r="G614" s="165">
        <v>36798</v>
      </c>
      <c r="H614" s="51">
        <f t="shared" ca="1" si="18"/>
        <v>16</v>
      </c>
      <c r="I614" s="164" t="str">
        <f t="shared" si="19"/>
        <v>September</v>
      </c>
      <c r="J614" s="52"/>
      <c r="K614" s="53">
        <v>70860</v>
      </c>
      <c r="L614" s="163">
        <v>4</v>
      </c>
    </row>
    <row r="615" spans="1:12" x14ac:dyDescent="0.25">
      <c r="A615" s="158" t="s">
        <v>590</v>
      </c>
      <c r="B615" s="158" t="s">
        <v>856</v>
      </c>
      <c r="C615" s="168" t="s">
        <v>266</v>
      </c>
      <c r="D615" s="167">
        <v>2527422559</v>
      </c>
      <c r="E615" s="166">
        <v>889210902</v>
      </c>
      <c r="F615" s="158" t="s">
        <v>256</v>
      </c>
      <c r="G615" s="165">
        <v>37242</v>
      </c>
      <c r="H615" s="51">
        <f t="shared" ca="1" si="18"/>
        <v>14</v>
      </c>
      <c r="I615" s="164" t="str">
        <f t="shared" si="19"/>
        <v>December</v>
      </c>
      <c r="J615" s="52" t="s">
        <v>283</v>
      </c>
      <c r="K615" s="53">
        <v>57900</v>
      </c>
      <c r="L615" s="163">
        <v>3</v>
      </c>
    </row>
    <row r="616" spans="1:12" x14ac:dyDescent="0.25">
      <c r="A616" s="158" t="s">
        <v>1007</v>
      </c>
      <c r="B616" s="158" t="s">
        <v>856</v>
      </c>
      <c r="C616" s="168" t="s">
        <v>266</v>
      </c>
      <c r="D616" s="167">
        <v>2524998145</v>
      </c>
      <c r="E616" s="166">
        <v>313648228</v>
      </c>
      <c r="F616" s="158" t="s">
        <v>256</v>
      </c>
      <c r="G616" s="165">
        <v>38353</v>
      </c>
      <c r="H616" s="51">
        <f t="shared" ca="1" si="18"/>
        <v>11</v>
      </c>
      <c r="I616" s="164" t="str">
        <f t="shared" si="19"/>
        <v>January</v>
      </c>
      <c r="J616" s="52" t="s">
        <v>283</v>
      </c>
      <c r="K616" s="53">
        <v>98988</v>
      </c>
      <c r="L616" s="163">
        <v>5</v>
      </c>
    </row>
    <row r="617" spans="1:12" x14ac:dyDescent="0.25">
      <c r="A617" s="158" t="s">
        <v>833</v>
      </c>
      <c r="B617" s="158" t="s">
        <v>856</v>
      </c>
      <c r="C617" s="168" t="s">
        <v>285</v>
      </c>
      <c r="D617" s="167">
        <v>9198451642</v>
      </c>
      <c r="E617" s="166">
        <v>983047016</v>
      </c>
      <c r="F617" s="158" t="s">
        <v>247</v>
      </c>
      <c r="G617" s="165">
        <v>39521</v>
      </c>
      <c r="H617" s="51">
        <f t="shared" ca="1" si="18"/>
        <v>8</v>
      </c>
      <c r="I617" s="164" t="str">
        <f t="shared" si="19"/>
        <v>March</v>
      </c>
      <c r="J617" s="52"/>
      <c r="K617" s="53">
        <v>103116</v>
      </c>
      <c r="L617" s="163">
        <v>2</v>
      </c>
    </row>
    <row r="618" spans="1:12" x14ac:dyDescent="0.25">
      <c r="A618" s="158" t="s">
        <v>835</v>
      </c>
      <c r="B618" s="158" t="s">
        <v>856</v>
      </c>
      <c r="C618" s="168" t="s">
        <v>245</v>
      </c>
      <c r="D618" s="170">
        <v>2525441252</v>
      </c>
      <c r="E618" s="166">
        <v>352371400</v>
      </c>
      <c r="F618" s="158" t="s">
        <v>252</v>
      </c>
      <c r="G618" s="165">
        <v>33984</v>
      </c>
      <c r="H618" s="51">
        <f t="shared" ca="1" si="18"/>
        <v>23</v>
      </c>
      <c r="I618" s="164" t="str">
        <f t="shared" si="19"/>
        <v>January</v>
      </c>
      <c r="J618" s="52"/>
      <c r="K618" s="53">
        <v>36562</v>
      </c>
      <c r="L618" s="163">
        <v>2</v>
      </c>
    </row>
    <row r="619" spans="1:12" x14ac:dyDescent="0.25">
      <c r="A619" s="158" t="s">
        <v>595</v>
      </c>
      <c r="B619" s="158" t="s">
        <v>856</v>
      </c>
      <c r="C619" s="168" t="s">
        <v>285</v>
      </c>
      <c r="D619" s="167">
        <v>2527853314</v>
      </c>
      <c r="E619" s="166">
        <v>693965055</v>
      </c>
      <c r="F619" s="158" t="s">
        <v>256</v>
      </c>
      <c r="G619" s="165">
        <v>34439</v>
      </c>
      <c r="H619" s="51">
        <f t="shared" ca="1" si="18"/>
        <v>22</v>
      </c>
      <c r="I619" s="164" t="str">
        <f t="shared" si="19"/>
        <v>April</v>
      </c>
      <c r="J619" s="52" t="s">
        <v>257</v>
      </c>
      <c r="K619" s="53">
        <v>82164</v>
      </c>
      <c r="L619" s="163">
        <v>4</v>
      </c>
    </row>
    <row r="620" spans="1:12" x14ac:dyDescent="0.25">
      <c r="A620" s="158" t="s">
        <v>838</v>
      </c>
      <c r="B620" s="158" t="s">
        <v>856</v>
      </c>
      <c r="C620" s="168" t="s">
        <v>285</v>
      </c>
      <c r="D620" s="167">
        <v>9193123940</v>
      </c>
      <c r="E620" s="166">
        <v>195772503</v>
      </c>
      <c r="F620" s="158" t="s">
        <v>247</v>
      </c>
      <c r="G620" s="165">
        <v>34642</v>
      </c>
      <c r="H620" s="51">
        <f t="shared" ca="1" si="18"/>
        <v>22</v>
      </c>
      <c r="I620" s="164" t="str">
        <f t="shared" si="19"/>
        <v>November</v>
      </c>
      <c r="J620" s="52"/>
      <c r="K620" s="53">
        <v>66828</v>
      </c>
      <c r="L620" s="163">
        <v>2</v>
      </c>
    </row>
    <row r="621" spans="1:12" x14ac:dyDescent="0.25">
      <c r="A621" s="158" t="s">
        <v>356</v>
      </c>
      <c r="B621" s="158" t="s">
        <v>856</v>
      </c>
      <c r="C621" s="168" t="s">
        <v>285</v>
      </c>
      <c r="D621" s="167">
        <v>2524589262</v>
      </c>
      <c r="E621" s="166">
        <v>125540405</v>
      </c>
      <c r="F621" s="158" t="s">
        <v>256</v>
      </c>
      <c r="G621" s="165">
        <v>36973</v>
      </c>
      <c r="H621" s="51">
        <f t="shared" ca="1" si="18"/>
        <v>15</v>
      </c>
      <c r="I621" s="164" t="str">
        <f t="shared" si="19"/>
        <v>March</v>
      </c>
      <c r="J621" s="52" t="s">
        <v>257</v>
      </c>
      <c r="K621" s="53">
        <v>70092</v>
      </c>
      <c r="L621" s="163">
        <v>5</v>
      </c>
    </row>
    <row r="622" spans="1:12" x14ac:dyDescent="0.25">
      <c r="A622" s="158" t="s">
        <v>597</v>
      </c>
      <c r="B622" s="158" t="s">
        <v>856</v>
      </c>
      <c r="C622" s="168" t="s">
        <v>245</v>
      </c>
      <c r="D622" s="167">
        <v>2528792521</v>
      </c>
      <c r="E622" s="166">
        <v>518009092</v>
      </c>
      <c r="F622" s="158" t="s">
        <v>252</v>
      </c>
      <c r="G622" s="165">
        <v>36597</v>
      </c>
      <c r="H622" s="51">
        <f t="shared" ca="1" si="18"/>
        <v>16</v>
      </c>
      <c r="I622" s="164" t="str">
        <f t="shared" si="19"/>
        <v>March</v>
      </c>
      <c r="J622" s="52"/>
      <c r="K622" s="53">
        <v>21494</v>
      </c>
      <c r="L622" s="163">
        <v>5</v>
      </c>
    </row>
    <row r="623" spans="1:12" x14ac:dyDescent="0.25">
      <c r="A623" s="158" t="s">
        <v>359</v>
      </c>
      <c r="B623" s="158" t="s">
        <v>856</v>
      </c>
      <c r="C623" s="168" t="s">
        <v>280</v>
      </c>
      <c r="D623" s="167">
        <v>9192485673</v>
      </c>
      <c r="E623" s="166">
        <v>614562070</v>
      </c>
      <c r="F623" s="158" t="s">
        <v>261</v>
      </c>
      <c r="G623" s="165">
        <v>38543</v>
      </c>
      <c r="H623" s="51">
        <f t="shared" ca="1" si="18"/>
        <v>11</v>
      </c>
      <c r="I623" s="164" t="str">
        <f t="shared" si="19"/>
        <v>July</v>
      </c>
      <c r="J623" s="52" t="s">
        <v>257</v>
      </c>
      <c r="K623" s="53">
        <v>58488</v>
      </c>
      <c r="L623" s="163">
        <v>1</v>
      </c>
    </row>
    <row r="624" spans="1:12" x14ac:dyDescent="0.25">
      <c r="A624" s="158" t="s">
        <v>918</v>
      </c>
      <c r="B624" s="158" t="s">
        <v>856</v>
      </c>
      <c r="C624" s="168" t="s">
        <v>266</v>
      </c>
      <c r="D624" s="167">
        <v>2524072342</v>
      </c>
      <c r="E624" s="166">
        <v>733881041</v>
      </c>
      <c r="F624" s="158" t="s">
        <v>252</v>
      </c>
      <c r="G624" s="165">
        <v>37285</v>
      </c>
      <c r="H624" s="51">
        <f t="shared" ca="1" si="18"/>
        <v>14</v>
      </c>
      <c r="I624" s="164" t="str">
        <f t="shared" si="19"/>
        <v>January</v>
      </c>
      <c r="J624" s="52"/>
      <c r="K624" s="53">
        <v>18662</v>
      </c>
      <c r="L624" s="163">
        <v>4</v>
      </c>
    </row>
    <row r="625" spans="1:12" x14ac:dyDescent="0.25">
      <c r="A625" s="158" t="s">
        <v>1015</v>
      </c>
      <c r="B625" s="158" t="s">
        <v>856</v>
      </c>
      <c r="C625" s="168" t="s">
        <v>280</v>
      </c>
      <c r="D625" s="167">
        <v>2526593848</v>
      </c>
      <c r="E625" s="166">
        <v>666194498</v>
      </c>
      <c r="F625" s="158" t="s">
        <v>256</v>
      </c>
      <c r="G625" s="165">
        <v>39081</v>
      </c>
      <c r="H625" s="51">
        <f t="shared" ca="1" si="18"/>
        <v>9</v>
      </c>
      <c r="I625" s="164" t="str">
        <f t="shared" si="19"/>
        <v>December</v>
      </c>
      <c r="J625" s="52" t="s">
        <v>283</v>
      </c>
      <c r="K625" s="53">
        <v>100452</v>
      </c>
      <c r="L625" s="163">
        <v>3</v>
      </c>
    </row>
    <row r="626" spans="1:12" x14ac:dyDescent="0.25">
      <c r="A626" s="158" t="s">
        <v>360</v>
      </c>
      <c r="B626" s="158" t="s">
        <v>856</v>
      </c>
      <c r="C626" s="168" t="s">
        <v>271</v>
      </c>
      <c r="D626" s="167">
        <v>9193922813</v>
      </c>
      <c r="E626" s="166">
        <v>705186668</v>
      </c>
      <c r="F626" s="158" t="s">
        <v>252</v>
      </c>
      <c r="G626" s="165">
        <v>34908</v>
      </c>
      <c r="H626" s="51">
        <f t="shared" ca="1" si="18"/>
        <v>21</v>
      </c>
      <c r="I626" s="164" t="str">
        <f t="shared" si="19"/>
        <v>July</v>
      </c>
      <c r="J626" s="52"/>
      <c r="K626" s="53">
        <v>31781</v>
      </c>
      <c r="L626" s="163">
        <v>5</v>
      </c>
    </row>
    <row r="627" spans="1:12" x14ac:dyDescent="0.25">
      <c r="A627" s="158" t="s">
        <v>288</v>
      </c>
      <c r="B627" s="158" t="s">
        <v>856</v>
      </c>
      <c r="C627" s="168" t="s">
        <v>285</v>
      </c>
      <c r="D627" s="167">
        <v>9192376215</v>
      </c>
      <c r="E627" s="166">
        <v>932553359</v>
      </c>
      <c r="F627" s="158" t="s">
        <v>247</v>
      </c>
      <c r="G627" s="165">
        <v>40448</v>
      </c>
      <c r="H627" s="51">
        <f t="shared" ca="1" si="18"/>
        <v>6</v>
      </c>
      <c r="I627" s="164" t="str">
        <f t="shared" si="19"/>
        <v>September</v>
      </c>
      <c r="J627" s="52"/>
      <c r="K627" s="53">
        <v>51984</v>
      </c>
      <c r="L627" s="163">
        <v>5</v>
      </c>
    </row>
    <row r="628" spans="1:12" x14ac:dyDescent="0.25">
      <c r="A628" s="158" t="s">
        <v>1016</v>
      </c>
      <c r="B628" s="158" t="s">
        <v>856</v>
      </c>
      <c r="C628" s="168" t="s">
        <v>285</v>
      </c>
      <c r="D628" s="167">
        <v>9195157047</v>
      </c>
      <c r="E628" s="166">
        <v>100703382</v>
      </c>
      <c r="F628" s="158" t="s">
        <v>256</v>
      </c>
      <c r="G628" s="165">
        <v>34888</v>
      </c>
      <c r="H628" s="51">
        <f t="shared" ca="1" si="18"/>
        <v>21</v>
      </c>
      <c r="I628" s="164" t="str">
        <f t="shared" si="19"/>
        <v>July</v>
      </c>
      <c r="J628" s="52" t="s">
        <v>257</v>
      </c>
      <c r="K628" s="53">
        <v>65040</v>
      </c>
      <c r="L628" s="163">
        <v>4</v>
      </c>
    </row>
    <row r="629" spans="1:12" x14ac:dyDescent="0.25">
      <c r="A629" s="158" t="s">
        <v>605</v>
      </c>
      <c r="B629" s="158" t="s">
        <v>856</v>
      </c>
      <c r="C629" s="168" t="s">
        <v>271</v>
      </c>
      <c r="D629" s="167">
        <v>9198407416</v>
      </c>
      <c r="E629" s="166">
        <v>404589373</v>
      </c>
      <c r="F629" s="158" t="s">
        <v>256</v>
      </c>
      <c r="G629" s="165">
        <v>34756</v>
      </c>
      <c r="H629" s="51">
        <f t="shared" ca="1" si="18"/>
        <v>21</v>
      </c>
      <c r="I629" s="164" t="str">
        <f t="shared" si="19"/>
        <v>February</v>
      </c>
      <c r="J629" s="52" t="s">
        <v>283</v>
      </c>
      <c r="K629" s="53">
        <v>80189</v>
      </c>
      <c r="L629" s="163">
        <v>2</v>
      </c>
    </row>
    <row r="630" spans="1:12" x14ac:dyDescent="0.25">
      <c r="A630" s="158" t="s">
        <v>1017</v>
      </c>
      <c r="B630" s="158" t="s">
        <v>856</v>
      </c>
      <c r="C630" s="168" t="s">
        <v>245</v>
      </c>
      <c r="D630" s="167">
        <v>2522842668</v>
      </c>
      <c r="E630" s="166">
        <v>288741910</v>
      </c>
      <c r="F630" s="158" t="s">
        <v>256</v>
      </c>
      <c r="G630" s="165">
        <v>37088</v>
      </c>
      <c r="H630" s="51">
        <f t="shared" ca="1" si="18"/>
        <v>15</v>
      </c>
      <c r="I630" s="164" t="str">
        <f t="shared" si="19"/>
        <v>July</v>
      </c>
      <c r="J630" s="52" t="s">
        <v>283</v>
      </c>
      <c r="K630" s="53">
        <v>80424</v>
      </c>
      <c r="L630" s="163">
        <v>1</v>
      </c>
    </row>
    <row r="631" spans="1:12" x14ac:dyDescent="0.25">
      <c r="A631" s="158" t="s">
        <v>745</v>
      </c>
      <c r="B631" s="158" t="s">
        <v>856</v>
      </c>
      <c r="C631" s="168" t="s">
        <v>280</v>
      </c>
      <c r="D631" s="167">
        <v>2524713634</v>
      </c>
      <c r="E631" s="166">
        <v>491830893</v>
      </c>
      <c r="F631" s="158" t="s">
        <v>256</v>
      </c>
      <c r="G631" s="165">
        <v>40806</v>
      </c>
      <c r="H631" s="51">
        <f t="shared" ca="1" si="18"/>
        <v>5</v>
      </c>
      <c r="I631" s="164" t="str">
        <f t="shared" si="19"/>
        <v>September</v>
      </c>
      <c r="J631" s="52" t="s">
        <v>283</v>
      </c>
      <c r="K631" s="53">
        <v>27828</v>
      </c>
      <c r="L631" s="163">
        <v>5</v>
      </c>
    </row>
    <row r="632" spans="1:12" x14ac:dyDescent="0.25">
      <c r="A632" s="158" t="s">
        <v>379</v>
      </c>
      <c r="B632" s="158" t="s">
        <v>856</v>
      </c>
      <c r="C632" s="168" t="s">
        <v>285</v>
      </c>
      <c r="D632" s="167">
        <v>9196973131</v>
      </c>
      <c r="E632" s="166">
        <v>984881714</v>
      </c>
      <c r="F632" s="158" t="s">
        <v>256</v>
      </c>
      <c r="G632" s="165">
        <v>36136</v>
      </c>
      <c r="H632" s="51">
        <f t="shared" ca="1" si="18"/>
        <v>17</v>
      </c>
      <c r="I632" s="164" t="str">
        <f t="shared" si="19"/>
        <v>December</v>
      </c>
      <c r="J632" s="52" t="s">
        <v>283</v>
      </c>
      <c r="K632" s="53">
        <v>41196</v>
      </c>
      <c r="L632" s="163">
        <v>3</v>
      </c>
    </row>
    <row r="633" spans="1:12" x14ac:dyDescent="0.25">
      <c r="A633" s="158" t="s">
        <v>847</v>
      </c>
      <c r="B633" s="158" t="s">
        <v>856</v>
      </c>
      <c r="C633" s="168" t="s">
        <v>251</v>
      </c>
      <c r="D633" s="167">
        <v>9195526537</v>
      </c>
      <c r="E633" s="166">
        <v>368385341</v>
      </c>
      <c r="F633" s="158" t="s">
        <v>247</v>
      </c>
      <c r="G633" s="165">
        <v>37810</v>
      </c>
      <c r="H633" s="51">
        <f t="shared" ca="1" si="18"/>
        <v>13</v>
      </c>
      <c r="I633" s="164" t="str">
        <f t="shared" si="19"/>
        <v>July</v>
      </c>
      <c r="J633" s="52"/>
      <c r="K633" s="53">
        <v>56136</v>
      </c>
      <c r="L633" s="163">
        <v>2</v>
      </c>
    </row>
    <row r="634" spans="1:12" x14ac:dyDescent="0.25">
      <c r="A634" s="158" t="s">
        <v>848</v>
      </c>
      <c r="B634" s="158" t="s">
        <v>856</v>
      </c>
      <c r="C634" s="168" t="s">
        <v>271</v>
      </c>
      <c r="D634" s="167">
        <v>2526532463</v>
      </c>
      <c r="E634" s="166">
        <v>644489557</v>
      </c>
      <c r="F634" s="158" t="s">
        <v>256</v>
      </c>
      <c r="G634" s="165">
        <v>36740</v>
      </c>
      <c r="H634" s="51">
        <f t="shared" ca="1" si="18"/>
        <v>16</v>
      </c>
      <c r="I634" s="164" t="str">
        <f t="shared" si="19"/>
        <v>August</v>
      </c>
      <c r="J634" s="52" t="s">
        <v>262</v>
      </c>
      <c r="K634" s="53">
        <v>94740</v>
      </c>
      <c r="L634" s="163">
        <v>1</v>
      </c>
    </row>
    <row r="635" spans="1:12" x14ac:dyDescent="0.25">
      <c r="A635" s="158" t="s">
        <v>1020</v>
      </c>
      <c r="B635" s="158" t="s">
        <v>856</v>
      </c>
      <c r="C635" s="168" t="s">
        <v>271</v>
      </c>
      <c r="D635" s="167">
        <v>2526443692</v>
      </c>
      <c r="E635" s="166">
        <v>836953739</v>
      </c>
      <c r="F635" s="158" t="s">
        <v>261</v>
      </c>
      <c r="G635" s="165">
        <v>37259</v>
      </c>
      <c r="H635" s="51">
        <f t="shared" ca="1" si="18"/>
        <v>14</v>
      </c>
      <c r="I635" s="164" t="str">
        <f t="shared" si="19"/>
        <v>January</v>
      </c>
      <c r="J635" s="52" t="s">
        <v>267</v>
      </c>
      <c r="K635" s="53">
        <v>25188</v>
      </c>
      <c r="L635" s="163">
        <v>4</v>
      </c>
    </row>
    <row r="636" spans="1:12" x14ac:dyDescent="0.25">
      <c r="A636" s="158" t="s">
        <v>851</v>
      </c>
      <c r="B636" s="158" t="s">
        <v>856</v>
      </c>
      <c r="C636" s="168" t="s">
        <v>251</v>
      </c>
      <c r="D636" s="167">
        <v>9193558443</v>
      </c>
      <c r="E636" s="166">
        <v>265993407</v>
      </c>
      <c r="F636" s="158" t="s">
        <v>247</v>
      </c>
      <c r="G636" s="165">
        <v>34010</v>
      </c>
      <c r="H636" s="51">
        <f t="shared" ca="1" si="18"/>
        <v>23</v>
      </c>
      <c r="I636" s="164" t="str">
        <f t="shared" si="19"/>
        <v>February</v>
      </c>
      <c r="J636" s="52"/>
      <c r="K636" s="53">
        <v>107340</v>
      </c>
      <c r="L636" s="163">
        <v>2</v>
      </c>
    </row>
    <row r="637" spans="1:12" x14ac:dyDescent="0.25">
      <c r="A637" s="158" t="s">
        <v>853</v>
      </c>
      <c r="B637" s="158" t="s">
        <v>856</v>
      </c>
      <c r="C637" s="168" t="s">
        <v>245</v>
      </c>
      <c r="D637" s="167">
        <v>9196408497</v>
      </c>
      <c r="E637" s="166">
        <v>855135948</v>
      </c>
      <c r="F637" s="158" t="s">
        <v>256</v>
      </c>
      <c r="G637" s="165">
        <v>40543</v>
      </c>
      <c r="H637" s="51">
        <f t="shared" ca="1" si="18"/>
        <v>5</v>
      </c>
      <c r="I637" s="164" t="str">
        <f t="shared" si="19"/>
        <v>December</v>
      </c>
      <c r="J637" s="52" t="s">
        <v>283</v>
      </c>
      <c r="K637" s="53">
        <v>86472</v>
      </c>
      <c r="L637" s="163">
        <v>2</v>
      </c>
    </row>
    <row r="638" spans="1:12" x14ac:dyDescent="0.25">
      <c r="A638" s="158" t="s">
        <v>454</v>
      </c>
      <c r="B638" s="158" t="s">
        <v>856</v>
      </c>
      <c r="C638" s="168" t="s">
        <v>271</v>
      </c>
      <c r="D638" s="167">
        <v>9194127875</v>
      </c>
      <c r="E638" s="166">
        <v>272659955</v>
      </c>
      <c r="F638" s="158" t="s">
        <v>256</v>
      </c>
      <c r="G638" s="165">
        <v>35013</v>
      </c>
      <c r="H638" s="51">
        <f t="shared" ca="1" si="18"/>
        <v>21</v>
      </c>
      <c r="I638" s="164" t="str">
        <f t="shared" si="19"/>
        <v>November</v>
      </c>
      <c r="J638" s="52" t="s">
        <v>267</v>
      </c>
      <c r="K638" s="53">
        <v>58188</v>
      </c>
      <c r="L638" s="163">
        <v>2</v>
      </c>
    </row>
    <row r="639" spans="1:12" x14ac:dyDescent="0.25">
      <c r="A639" s="158" t="s">
        <v>859</v>
      </c>
      <c r="B639" s="158" t="s">
        <v>930</v>
      </c>
      <c r="C639" s="168" t="s">
        <v>251</v>
      </c>
      <c r="D639" s="167">
        <v>9192416398</v>
      </c>
      <c r="E639" s="166">
        <v>688769770</v>
      </c>
      <c r="F639" s="158" t="s">
        <v>256</v>
      </c>
      <c r="G639" s="165">
        <v>39354</v>
      </c>
      <c r="H639" s="51">
        <f t="shared" ca="1" si="18"/>
        <v>9</v>
      </c>
      <c r="I639" s="164" t="str">
        <f t="shared" si="19"/>
        <v>September</v>
      </c>
      <c r="J639" s="52" t="s">
        <v>257</v>
      </c>
      <c r="K639" s="53">
        <v>53436</v>
      </c>
      <c r="L639" s="163">
        <v>2</v>
      </c>
    </row>
    <row r="640" spans="1:12" x14ac:dyDescent="0.25">
      <c r="A640" s="158" t="s">
        <v>769</v>
      </c>
      <c r="B640" s="158" t="s">
        <v>930</v>
      </c>
      <c r="C640" s="168" t="s">
        <v>271</v>
      </c>
      <c r="D640" s="167">
        <v>2526049607</v>
      </c>
      <c r="E640" s="166">
        <v>876082195</v>
      </c>
      <c r="F640" s="158" t="s">
        <v>256</v>
      </c>
      <c r="G640" s="165">
        <v>37058</v>
      </c>
      <c r="H640" s="51">
        <f t="shared" ca="1" si="18"/>
        <v>15</v>
      </c>
      <c r="I640" s="164" t="str">
        <f t="shared" si="19"/>
        <v>June</v>
      </c>
      <c r="J640" s="52" t="s">
        <v>276</v>
      </c>
      <c r="K640" s="53">
        <v>74220</v>
      </c>
      <c r="L640" s="163">
        <v>2</v>
      </c>
    </row>
    <row r="641" spans="1:12" x14ac:dyDescent="0.25">
      <c r="A641" s="158" t="s">
        <v>771</v>
      </c>
      <c r="B641" s="158" t="s">
        <v>930</v>
      </c>
      <c r="C641" s="168" t="s">
        <v>285</v>
      </c>
      <c r="D641" s="167">
        <v>9193679666</v>
      </c>
      <c r="E641" s="166">
        <v>656572514</v>
      </c>
      <c r="F641" s="158" t="s">
        <v>247</v>
      </c>
      <c r="G641" s="165">
        <v>34702</v>
      </c>
      <c r="H641" s="51">
        <f t="shared" ca="1" si="18"/>
        <v>21</v>
      </c>
      <c r="I641" s="164" t="str">
        <f t="shared" si="19"/>
        <v>January</v>
      </c>
      <c r="J641" s="52"/>
      <c r="K641" s="53">
        <v>84180</v>
      </c>
      <c r="L641" s="163">
        <v>2</v>
      </c>
    </row>
    <row r="642" spans="1:12" x14ac:dyDescent="0.25">
      <c r="A642" s="158" t="s">
        <v>467</v>
      </c>
      <c r="B642" s="158" t="s">
        <v>930</v>
      </c>
      <c r="C642" s="168" t="s">
        <v>245</v>
      </c>
      <c r="D642" s="167">
        <v>2524100997</v>
      </c>
      <c r="E642" s="166">
        <v>877574472</v>
      </c>
      <c r="F642" s="158" t="s">
        <v>247</v>
      </c>
      <c r="G642" s="165">
        <v>34129</v>
      </c>
      <c r="H642" s="51">
        <f t="shared" ref="H642:H705" ca="1" si="20">DATEDIF(G642,TODAY(),"Y")</f>
        <v>23</v>
      </c>
      <c r="I642" s="164" t="str">
        <f t="shared" ref="I642:I705" si="21">CHOOSE(MONTH(G642),"January","February","March","April","May","June","July","August","September","October","November","December")</f>
        <v>June</v>
      </c>
      <c r="J642" s="52"/>
      <c r="K642" s="53">
        <v>41616</v>
      </c>
      <c r="L642" s="163">
        <v>5</v>
      </c>
    </row>
    <row r="643" spans="1:12" x14ac:dyDescent="0.25">
      <c r="A643" s="158" t="s">
        <v>773</v>
      </c>
      <c r="B643" s="158" t="s">
        <v>930</v>
      </c>
      <c r="C643" s="168" t="s">
        <v>285</v>
      </c>
      <c r="D643" s="167">
        <v>9196799516</v>
      </c>
      <c r="E643" s="166">
        <v>771110153</v>
      </c>
      <c r="F643" s="158" t="s">
        <v>256</v>
      </c>
      <c r="G643" s="165">
        <v>40011</v>
      </c>
      <c r="H643" s="51">
        <f t="shared" ca="1" si="20"/>
        <v>7</v>
      </c>
      <c r="I643" s="164" t="str">
        <f t="shared" si="21"/>
        <v>July</v>
      </c>
      <c r="J643" s="52" t="s">
        <v>257</v>
      </c>
      <c r="K643" s="53">
        <v>29976</v>
      </c>
      <c r="L643" s="163">
        <v>3</v>
      </c>
    </row>
    <row r="644" spans="1:12" x14ac:dyDescent="0.25">
      <c r="A644" s="158" t="s">
        <v>711</v>
      </c>
      <c r="B644" s="158" t="s">
        <v>930</v>
      </c>
      <c r="C644" s="168" t="s">
        <v>251</v>
      </c>
      <c r="D644" s="167">
        <v>9191838930</v>
      </c>
      <c r="E644" s="166">
        <v>995590510</v>
      </c>
      <c r="F644" s="158" t="s">
        <v>247</v>
      </c>
      <c r="G644" s="165">
        <v>41366</v>
      </c>
      <c r="H644" s="51">
        <f t="shared" ca="1" si="20"/>
        <v>3</v>
      </c>
      <c r="I644" s="164" t="str">
        <f t="shared" si="21"/>
        <v>April</v>
      </c>
      <c r="J644" s="52"/>
      <c r="K644" s="53">
        <v>51588</v>
      </c>
      <c r="L644" s="163">
        <v>4</v>
      </c>
    </row>
    <row r="645" spans="1:12" x14ac:dyDescent="0.25">
      <c r="A645" s="158" t="s">
        <v>295</v>
      </c>
      <c r="B645" s="158" t="s">
        <v>930</v>
      </c>
      <c r="C645" s="168" t="s">
        <v>245</v>
      </c>
      <c r="D645" s="167">
        <v>9196259106</v>
      </c>
      <c r="E645" s="166">
        <v>683670378</v>
      </c>
      <c r="F645" s="158" t="s">
        <v>256</v>
      </c>
      <c r="G645" s="165">
        <v>39075</v>
      </c>
      <c r="H645" s="51">
        <f t="shared" ca="1" si="20"/>
        <v>9</v>
      </c>
      <c r="I645" s="164" t="str">
        <f t="shared" si="21"/>
        <v>December</v>
      </c>
      <c r="J645" s="52" t="s">
        <v>283</v>
      </c>
      <c r="K645" s="53">
        <v>97608</v>
      </c>
      <c r="L645" s="163">
        <v>2</v>
      </c>
    </row>
    <row r="646" spans="1:12" x14ac:dyDescent="0.25">
      <c r="A646" s="158" t="s">
        <v>308</v>
      </c>
      <c r="B646" s="158" t="s">
        <v>930</v>
      </c>
      <c r="C646" s="168" t="s">
        <v>251</v>
      </c>
      <c r="D646" s="167">
        <v>2526757210</v>
      </c>
      <c r="E646" s="166">
        <v>799754905</v>
      </c>
      <c r="F646" s="158" t="s">
        <v>256</v>
      </c>
      <c r="G646" s="165">
        <v>36035</v>
      </c>
      <c r="H646" s="51">
        <f t="shared" ca="1" si="20"/>
        <v>18</v>
      </c>
      <c r="I646" s="164" t="str">
        <f t="shared" si="21"/>
        <v>August</v>
      </c>
      <c r="J646" s="52" t="s">
        <v>257</v>
      </c>
      <c r="K646" s="53">
        <v>38028</v>
      </c>
      <c r="L646" s="163">
        <v>4</v>
      </c>
    </row>
    <row r="647" spans="1:12" x14ac:dyDescent="0.25">
      <c r="A647" s="158" t="s">
        <v>479</v>
      </c>
      <c r="B647" s="158" t="s">
        <v>930</v>
      </c>
      <c r="C647" s="168" t="s">
        <v>285</v>
      </c>
      <c r="D647" s="167">
        <v>2526466230</v>
      </c>
      <c r="E647" s="166">
        <v>163350417</v>
      </c>
      <c r="F647" s="158" t="s">
        <v>256</v>
      </c>
      <c r="G647" s="165">
        <v>37400</v>
      </c>
      <c r="H647" s="51">
        <f t="shared" ca="1" si="20"/>
        <v>14</v>
      </c>
      <c r="I647" s="164" t="str">
        <f t="shared" si="21"/>
        <v>May</v>
      </c>
      <c r="J647" s="52" t="s">
        <v>262</v>
      </c>
      <c r="K647" s="53">
        <v>78384</v>
      </c>
      <c r="L647" s="163">
        <v>5</v>
      </c>
    </row>
    <row r="648" spans="1:12" x14ac:dyDescent="0.25">
      <c r="A648" s="158" t="s">
        <v>1030</v>
      </c>
      <c r="B648" s="158" t="s">
        <v>930</v>
      </c>
      <c r="C648" s="168" t="s">
        <v>280</v>
      </c>
      <c r="D648" s="167">
        <v>2523014821</v>
      </c>
      <c r="E648" s="166">
        <v>651999482</v>
      </c>
      <c r="F648" s="158" t="s">
        <v>256</v>
      </c>
      <c r="G648" s="165">
        <v>40407</v>
      </c>
      <c r="H648" s="51">
        <f t="shared" ca="1" si="20"/>
        <v>6</v>
      </c>
      <c r="I648" s="164" t="str">
        <f t="shared" si="21"/>
        <v>August</v>
      </c>
      <c r="J648" s="52" t="s">
        <v>257</v>
      </c>
      <c r="K648" s="53">
        <v>27384</v>
      </c>
      <c r="L648" s="163">
        <v>5</v>
      </c>
    </row>
    <row r="649" spans="1:12" x14ac:dyDescent="0.25">
      <c r="A649" s="158" t="s">
        <v>938</v>
      </c>
      <c r="B649" s="158" t="s">
        <v>930</v>
      </c>
      <c r="C649" s="168" t="s">
        <v>285</v>
      </c>
      <c r="D649" s="167">
        <v>2526459263</v>
      </c>
      <c r="E649" s="166">
        <v>483483618</v>
      </c>
      <c r="F649" s="158" t="s">
        <v>256</v>
      </c>
      <c r="G649" s="165">
        <v>35865</v>
      </c>
      <c r="H649" s="51">
        <f t="shared" ca="1" si="20"/>
        <v>18</v>
      </c>
      <c r="I649" s="164" t="str">
        <f t="shared" si="21"/>
        <v>March</v>
      </c>
      <c r="J649" s="52" t="s">
        <v>283</v>
      </c>
      <c r="K649" s="53">
        <v>40308</v>
      </c>
      <c r="L649" s="163">
        <v>5</v>
      </c>
    </row>
    <row r="650" spans="1:12" x14ac:dyDescent="0.25">
      <c r="A650" s="158" t="s">
        <v>777</v>
      </c>
      <c r="B650" s="158" t="s">
        <v>930</v>
      </c>
      <c r="C650" s="168" t="s">
        <v>280</v>
      </c>
      <c r="D650" s="167">
        <v>9198399625</v>
      </c>
      <c r="E650" s="166">
        <v>426812736</v>
      </c>
      <c r="F650" s="158" t="s">
        <v>247</v>
      </c>
      <c r="G650" s="165">
        <v>34887</v>
      </c>
      <c r="H650" s="51">
        <f t="shared" ca="1" si="20"/>
        <v>21</v>
      </c>
      <c r="I650" s="164" t="str">
        <f t="shared" si="21"/>
        <v>July</v>
      </c>
      <c r="J650" s="52"/>
      <c r="K650" s="53">
        <v>42288</v>
      </c>
      <c r="L650" s="163">
        <v>3</v>
      </c>
    </row>
    <row r="651" spans="1:12" x14ac:dyDescent="0.25">
      <c r="A651" s="158" t="s">
        <v>487</v>
      </c>
      <c r="B651" s="158" t="s">
        <v>930</v>
      </c>
      <c r="C651" s="168" t="s">
        <v>266</v>
      </c>
      <c r="D651" s="167">
        <v>9194483888</v>
      </c>
      <c r="E651" s="166">
        <v>929694686</v>
      </c>
      <c r="F651" s="158" t="s">
        <v>256</v>
      </c>
      <c r="G651" s="165">
        <v>41264</v>
      </c>
      <c r="H651" s="51">
        <f t="shared" ca="1" si="20"/>
        <v>3</v>
      </c>
      <c r="I651" s="164" t="str">
        <f t="shared" si="21"/>
        <v>December</v>
      </c>
      <c r="J651" s="52" t="s">
        <v>283</v>
      </c>
      <c r="K651" s="53">
        <v>84876</v>
      </c>
      <c r="L651" s="163">
        <v>1</v>
      </c>
    </row>
    <row r="652" spans="1:12" x14ac:dyDescent="0.25">
      <c r="A652" s="158" t="s">
        <v>488</v>
      </c>
      <c r="B652" s="158" t="s">
        <v>930</v>
      </c>
      <c r="C652" s="168" t="s">
        <v>285</v>
      </c>
      <c r="D652" s="167">
        <v>9194557504</v>
      </c>
      <c r="E652" s="166">
        <v>879114558</v>
      </c>
      <c r="F652" s="158" t="s">
        <v>261</v>
      </c>
      <c r="G652" s="165">
        <v>37646</v>
      </c>
      <c r="H652" s="51">
        <f t="shared" ca="1" si="20"/>
        <v>13</v>
      </c>
      <c r="I652" s="164" t="str">
        <f t="shared" si="21"/>
        <v>January</v>
      </c>
      <c r="J652" s="52" t="s">
        <v>257</v>
      </c>
      <c r="K652" s="53">
        <v>20646</v>
      </c>
      <c r="L652" s="163">
        <v>5</v>
      </c>
    </row>
    <row r="653" spans="1:12" x14ac:dyDescent="0.25">
      <c r="A653" s="158" t="s">
        <v>1059</v>
      </c>
      <c r="B653" s="158" t="s">
        <v>930</v>
      </c>
      <c r="C653" s="168" t="s">
        <v>280</v>
      </c>
      <c r="D653" s="167">
        <v>9196965088</v>
      </c>
      <c r="E653" s="166">
        <v>641962645</v>
      </c>
      <c r="F653" s="158" t="s">
        <v>247</v>
      </c>
      <c r="G653" s="165">
        <v>34863</v>
      </c>
      <c r="H653" s="51">
        <f t="shared" ca="1" si="20"/>
        <v>21</v>
      </c>
      <c r="I653" s="164" t="str">
        <f t="shared" si="21"/>
        <v>June</v>
      </c>
      <c r="J653" s="52"/>
      <c r="K653" s="53">
        <v>94308</v>
      </c>
      <c r="L653" s="163">
        <v>1</v>
      </c>
    </row>
    <row r="654" spans="1:12" x14ac:dyDescent="0.25">
      <c r="A654" s="158" t="s">
        <v>297</v>
      </c>
      <c r="B654" s="158" t="s">
        <v>930</v>
      </c>
      <c r="C654" s="168" t="s">
        <v>285</v>
      </c>
      <c r="D654" s="167">
        <v>9193936198</v>
      </c>
      <c r="E654" s="166">
        <v>894855096</v>
      </c>
      <c r="F654" s="158" t="s">
        <v>261</v>
      </c>
      <c r="G654" s="165">
        <v>36194</v>
      </c>
      <c r="H654" s="51">
        <f t="shared" ca="1" si="20"/>
        <v>17</v>
      </c>
      <c r="I654" s="164" t="str">
        <f t="shared" si="21"/>
        <v>February</v>
      </c>
      <c r="J654" s="52" t="s">
        <v>262</v>
      </c>
      <c r="K654" s="53">
        <v>45192</v>
      </c>
      <c r="L654" s="163">
        <v>4</v>
      </c>
    </row>
    <row r="655" spans="1:12" x14ac:dyDescent="0.25">
      <c r="A655" s="158" t="s">
        <v>373</v>
      </c>
      <c r="B655" s="158" t="s">
        <v>930</v>
      </c>
      <c r="C655" s="168" t="s">
        <v>271</v>
      </c>
      <c r="D655" s="167">
        <v>9195797109</v>
      </c>
      <c r="E655" s="166">
        <v>855663308</v>
      </c>
      <c r="F655" s="158" t="s">
        <v>256</v>
      </c>
      <c r="G655" s="165">
        <v>35398</v>
      </c>
      <c r="H655" s="51">
        <f t="shared" ca="1" si="20"/>
        <v>19</v>
      </c>
      <c r="I655" s="164" t="str">
        <f t="shared" si="21"/>
        <v>November</v>
      </c>
      <c r="J655" s="52" t="s">
        <v>257</v>
      </c>
      <c r="K655" s="53">
        <v>83412</v>
      </c>
      <c r="L655" s="163">
        <v>5</v>
      </c>
    </row>
    <row r="656" spans="1:12" x14ac:dyDescent="0.25">
      <c r="A656" s="158" t="s">
        <v>501</v>
      </c>
      <c r="B656" s="158" t="s">
        <v>930</v>
      </c>
      <c r="C656" s="168" t="s">
        <v>271</v>
      </c>
      <c r="D656" s="167">
        <v>9194084456</v>
      </c>
      <c r="E656" s="166">
        <v>159594851</v>
      </c>
      <c r="F656" s="158" t="s">
        <v>256</v>
      </c>
      <c r="G656" s="165">
        <v>41408</v>
      </c>
      <c r="H656" s="51">
        <f t="shared" ca="1" si="20"/>
        <v>3</v>
      </c>
      <c r="I656" s="164" t="str">
        <f t="shared" si="21"/>
        <v>May</v>
      </c>
      <c r="J656" s="52" t="s">
        <v>276</v>
      </c>
      <c r="K656" s="53">
        <v>48312</v>
      </c>
      <c r="L656" s="163">
        <v>5</v>
      </c>
    </row>
    <row r="657" spans="1:12" x14ac:dyDescent="0.25">
      <c r="A657" s="158" t="s">
        <v>787</v>
      </c>
      <c r="B657" s="158" t="s">
        <v>930</v>
      </c>
      <c r="C657" s="168" t="s">
        <v>285</v>
      </c>
      <c r="D657" s="167">
        <v>9191800673</v>
      </c>
      <c r="E657" s="166">
        <v>471064761</v>
      </c>
      <c r="F657" s="158" t="s">
        <v>252</v>
      </c>
      <c r="G657" s="165">
        <v>35553</v>
      </c>
      <c r="H657" s="51">
        <f t="shared" ca="1" si="20"/>
        <v>19</v>
      </c>
      <c r="I657" s="164" t="str">
        <f t="shared" si="21"/>
        <v>May</v>
      </c>
      <c r="J657" s="52"/>
      <c r="K657" s="53">
        <v>32333</v>
      </c>
      <c r="L657" s="163">
        <v>4</v>
      </c>
    </row>
    <row r="658" spans="1:12" x14ac:dyDescent="0.25">
      <c r="A658" s="158" t="s">
        <v>754</v>
      </c>
      <c r="B658" s="158" t="s">
        <v>930</v>
      </c>
      <c r="C658" s="168" t="s">
        <v>285</v>
      </c>
      <c r="D658" s="167">
        <v>9191509619</v>
      </c>
      <c r="E658" s="166">
        <v>287476507</v>
      </c>
      <c r="F658" s="158" t="s">
        <v>261</v>
      </c>
      <c r="G658" s="165">
        <v>34733</v>
      </c>
      <c r="H658" s="51">
        <f t="shared" ca="1" si="20"/>
        <v>21</v>
      </c>
      <c r="I658" s="164" t="str">
        <f t="shared" si="21"/>
        <v>February</v>
      </c>
      <c r="J658" s="52" t="s">
        <v>257</v>
      </c>
      <c r="K658" s="53">
        <v>23922</v>
      </c>
      <c r="L658" s="163">
        <v>1</v>
      </c>
    </row>
    <row r="659" spans="1:12" x14ac:dyDescent="0.25">
      <c r="A659" s="158" t="s">
        <v>508</v>
      </c>
      <c r="B659" s="158" t="s">
        <v>930</v>
      </c>
      <c r="C659" s="168" t="s">
        <v>271</v>
      </c>
      <c r="D659" s="167">
        <v>2524907564</v>
      </c>
      <c r="E659" s="166">
        <v>916944119</v>
      </c>
      <c r="F659" s="158" t="s">
        <v>247</v>
      </c>
      <c r="G659" s="165">
        <v>37827</v>
      </c>
      <c r="H659" s="51">
        <f t="shared" ca="1" si="20"/>
        <v>13</v>
      </c>
      <c r="I659" s="164" t="str">
        <f t="shared" si="21"/>
        <v>July</v>
      </c>
      <c r="J659" s="52"/>
      <c r="K659" s="53">
        <v>33924</v>
      </c>
      <c r="L659" s="163">
        <v>5</v>
      </c>
    </row>
    <row r="660" spans="1:12" x14ac:dyDescent="0.25">
      <c r="A660" s="158" t="s">
        <v>509</v>
      </c>
      <c r="B660" s="158" t="s">
        <v>930</v>
      </c>
      <c r="C660" s="168" t="s">
        <v>271</v>
      </c>
      <c r="D660" s="167">
        <v>9192683895</v>
      </c>
      <c r="E660" s="166">
        <v>693214759</v>
      </c>
      <c r="F660" s="158" t="s">
        <v>256</v>
      </c>
      <c r="G660" s="165">
        <v>34534</v>
      </c>
      <c r="H660" s="51">
        <f t="shared" ca="1" si="20"/>
        <v>22</v>
      </c>
      <c r="I660" s="164" t="str">
        <f t="shared" si="21"/>
        <v>July</v>
      </c>
      <c r="J660" s="52" t="s">
        <v>262</v>
      </c>
      <c r="K660" s="53">
        <v>75336</v>
      </c>
      <c r="L660" s="163">
        <v>3</v>
      </c>
    </row>
    <row r="661" spans="1:12" x14ac:dyDescent="0.25">
      <c r="A661" s="158" t="s">
        <v>298</v>
      </c>
      <c r="B661" s="158" t="s">
        <v>930</v>
      </c>
      <c r="C661" s="168" t="s">
        <v>285</v>
      </c>
      <c r="D661" s="167">
        <v>2525604891</v>
      </c>
      <c r="E661" s="166">
        <v>794814501</v>
      </c>
      <c r="F661" s="158" t="s">
        <v>247</v>
      </c>
      <c r="G661" s="165">
        <v>40963</v>
      </c>
      <c r="H661" s="51">
        <f t="shared" ca="1" si="20"/>
        <v>4</v>
      </c>
      <c r="I661" s="164" t="str">
        <f t="shared" si="21"/>
        <v>February</v>
      </c>
      <c r="J661" s="52"/>
      <c r="K661" s="53">
        <v>96875</v>
      </c>
      <c r="L661" s="163">
        <v>3</v>
      </c>
    </row>
    <row r="662" spans="1:12" x14ac:dyDescent="0.25">
      <c r="A662" s="158" t="s">
        <v>395</v>
      </c>
      <c r="B662" s="158" t="s">
        <v>930</v>
      </c>
      <c r="C662" s="168" t="s">
        <v>285</v>
      </c>
      <c r="D662" s="167">
        <v>2522552565</v>
      </c>
      <c r="E662" s="166">
        <v>101829876</v>
      </c>
      <c r="F662" s="158" t="s">
        <v>252</v>
      </c>
      <c r="G662" s="165">
        <v>35975</v>
      </c>
      <c r="H662" s="51">
        <f t="shared" ca="1" si="20"/>
        <v>18</v>
      </c>
      <c r="I662" s="164" t="str">
        <f t="shared" si="21"/>
        <v>June</v>
      </c>
      <c r="J662" s="52"/>
      <c r="K662" s="53">
        <v>40502</v>
      </c>
      <c r="L662" s="163">
        <v>3</v>
      </c>
    </row>
    <row r="663" spans="1:12" x14ac:dyDescent="0.25">
      <c r="A663" s="158" t="s">
        <v>517</v>
      </c>
      <c r="B663" s="158" t="s">
        <v>930</v>
      </c>
      <c r="C663" s="168" t="s">
        <v>251</v>
      </c>
      <c r="D663" s="167">
        <v>2525402828</v>
      </c>
      <c r="E663" s="166">
        <v>759471070</v>
      </c>
      <c r="F663" s="158" t="s">
        <v>256</v>
      </c>
      <c r="G663" s="165">
        <v>37737</v>
      </c>
      <c r="H663" s="51">
        <f t="shared" ca="1" si="20"/>
        <v>13</v>
      </c>
      <c r="I663" s="164" t="str">
        <f t="shared" si="21"/>
        <v>April</v>
      </c>
      <c r="J663" s="52" t="s">
        <v>283</v>
      </c>
      <c r="K663" s="53">
        <v>94452</v>
      </c>
      <c r="L663" s="163">
        <v>2</v>
      </c>
    </row>
    <row r="664" spans="1:12" x14ac:dyDescent="0.25">
      <c r="A664" s="158" t="s">
        <v>427</v>
      </c>
      <c r="B664" s="158" t="s">
        <v>930</v>
      </c>
      <c r="C664" s="168" t="s">
        <v>266</v>
      </c>
      <c r="D664" s="167">
        <v>9194375399</v>
      </c>
      <c r="E664" s="166">
        <v>971128623</v>
      </c>
      <c r="F664" s="158" t="s">
        <v>247</v>
      </c>
      <c r="G664" s="165">
        <v>37869</v>
      </c>
      <c r="H664" s="51">
        <f t="shared" ca="1" si="20"/>
        <v>13</v>
      </c>
      <c r="I664" s="164" t="str">
        <f t="shared" si="21"/>
        <v>September</v>
      </c>
      <c r="J664" s="52"/>
      <c r="K664" s="53">
        <v>30636</v>
      </c>
      <c r="L664" s="163">
        <v>3</v>
      </c>
    </row>
    <row r="665" spans="1:12" x14ac:dyDescent="0.25">
      <c r="A665" s="158" t="s">
        <v>520</v>
      </c>
      <c r="B665" s="158" t="s">
        <v>930</v>
      </c>
      <c r="C665" s="168" t="s">
        <v>285</v>
      </c>
      <c r="D665" s="167">
        <v>2525459665</v>
      </c>
      <c r="E665" s="166">
        <v>324069262</v>
      </c>
      <c r="F665" s="158" t="s">
        <v>247</v>
      </c>
      <c r="G665" s="165">
        <v>35262</v>
      </c>
      <c r="H665" s="51">
        <f t="shared" ca="1" si="20"/>
        <v>20</v>
      </c>
      <c r="I665" s="164" t="str">
        <f t="shared" si="21"/>
        <v>July</v>
      </c>
      <c r="J665" s="52"/>
      <c r="K665" s="53">
        <v>54126</v>
      </c>
      <c r="L665" s="163">
        <v>1</v>
      </c>
    </row>
    <row r="666" spans="1:12" x14ac:dyDescent="0.25">
      <c r="A666" s="158" t="s">
        <v>953</v>
      </c>
      <c r="B666" s="158" t="s">
        <v>930</v>
      </c>
      <c r="C666" s="168" t="s">
        <v>285</v>
      </c>
      <c r="D666" s="167">
        <v>9192042331</v>
      </c>
      <c r="E666" s="166">
        <v>970466937</v>
      </c>
      <c r="F666" s="158" t="s">
        <v>247</v>
      </c>
      <c r="G666" s="165">
        <v>34223</v>
      </c>
      <c r="H666" s="51">
        <f t="shared" ca="1" si="20"/>
        <v>23</v>
      </c>
      <c r="I666" s="164" t="str">
        <f t="shared" si="21"/>
        <v>September</v>
      </c>
      <c r="J666" s="52"/>
      <c r="K666" s="53">
        <v>74976</v>
      </c>
      <c r="L666" s="163">
        <v>5</v>
      </c>
    </row>
    <row r="667" spans="1:12" x14ac:dyDescent="0.25">
      <c r="A667" s="158" t="s">
        <v>954</v>
      </c>
      <c r="B667" s="158" t="s">
        <v>930</v>
      </c>
      <c r="C667" s="168" t="s">
        <v>271</v>
      </c>
      <c r="D667" s="167">
        <v>9193441810</v>
      </c>
      <c r="E667" s="166">
        <v>317749924</v>
      </c>
      <c r="F667" s="158" t="s">
        <v>247</v>
      </c>
      <c r="G667" s="165">
        <v>34705</v>
      </c>
      <c r="H667" s="51">
        <f t="shared" ca="1" si="20"/>
        <v>21</v>
      </c>
      <c r="I667" s="164" t="str">
        <f t="shared" si="21"/>
        <v>January</v>
      </c>
      <c r="J667" s="52"/>
      <c r="K667" s="53">
        <v>75948</v>
      </c>
      <c r="L667" s="163">
        <v>5</v>
      </c>
    </row>
    <row r="668" spans="1:12" x14ac:dyDescent="0.25">
      <c r="A668" s="158" t="s">
        <v>521</v>
      </c>
      <c r="B668" s="158" t="s">
        <v>930</v>
      </c>
      <c r="C668" s="168" t="s">
        <v>285</v>
      </c>
      <c r="D668" s="167">
        <v>2526860208</v>
      </c>
      <c r="E668" s="166">
        <v>212558012</v>
      </c>
      <c r="F668" s="158" t="s">
        <v>256</v>
      </c>
      <c r="G668" s="165">
        <v>37695</v>
      </c>
      <c r="H668" s="51">
        <f t="shared" ca="1" si="20"/>
        <v>13</v>
      </c>
      <c r="I668" s="164" t="str">
        <f t="shared" si="21"/>
        <v>March</v>
      </c>
      <c r="J668" s="52" t="s">
        <v>257</v>
      </c>
      <c r="K668" s="53">
        <v>75672</v>
      </c>
      <c r="L668" s="163">
        <v>4</v>
      </c>
    </row>
    <row r="669" spans="1:12" x14ac:dyDescent="0.25">
      <c r="A669" s="158" t="s">
        <v>719</v>
      </c>
      <c r="B669" s="158" t="s">
        <v>930</v>
      </c>
      <c r="C669" s="168" t="s">
        <v>245</v>
      </c>
      <c r="D669" s="167">
        <v>2528012440</v>
      </c>
      <c r="E669" s="166">
        <v>247422007</v>
      </c>
      <c r="F669" s="158" t="s">
        <v>247</v>
      </c>
      <c r="G669" s="165">
        <v>36921</v>
      </c>
      <c r="H669" s="51">
        <f t="shared" ca="1" si="20"/>
        <v>15</v>
      </c>
      <c r="I669" s="164" t="str">
        <f t="shared" si="21"/>
        <v>January</v>
      </c>
      <c r="J669" s="52"/>
      <c r="K669" s="53">
        <v>69900</v>
      </c>
      <c r="L669" s="163">
        <v>2</v>
      </c>
    </row>
    <row r="670" spans="1:12" x14ac:dyDescent="0.25">
      <c r="A670" s="158" t="s">
        <v>413</v>
      </c>
      <c r="B670" s="158" t="s">
        <v>930</v>
      </c>
      <c r="C670" s="168" t="s">
        <v>285</v>
      </c>
      <c r="D670" s="167">
        <v>2526391402</v>
      </c>
      <c r="E670" s="166">
        <v>891224981</v>
      </c>
      <c r="F670" s="158" t="s">
        <v>261</v>
      </c>
      <c r="G670" s="165">
        <v>34868</v>
      </c>
      <c r="H670" s="51">
        <f t="shared" ca="1" si="20"/>
        <v>21</v>
      </c>
      <c r="I670" s="164" t="str">
        <f t="shared" si="21"/>
        <v>June</v>
      </c>
      <c r="J670" s="52" t="s">
        <v>276</v>
      </c>
      <c r="K670" s="53">
        <v>13476</v>
      </c>
      <c r="L670" s="163">
        <v>4</v>
      </c>
    </row>
    <row r="671" spans="1:12" x14ac:dyDescent="0.25">
      <c r="A671" s="158" t="s">
        <v>960</v>
      </c>
      <c r="B671" s="158" t="s">
        <v>930</v>
      </c>
      <c r="C671" s="168" t="s">
        <v>251</v>
      </c>
      <c r="D671" s="167">
        <v>9192259651</v>
      </c>
      <c r="E671" s="166">
        <v>635240617</v>
      </c>
      <c r="F671" s="158" t="s">
        <v>256</v>
      </c>
      <c r="G671" s="165">
        <v>37571</v>
      </c>
      <c r="H671" s="51">
        <f t="shared" ca="1" si="20"/>
        <v>14</v>
      </c>
      <c r="I671" s="164" t="str">
        <f t="shared" si="21"/>
        <v>November</v>
      </c>
      <c r="J671" s="52" t="s">
        <v>283</v>
      </c>
      <c r="K671" s="53">
        <v>57156</v>
      </c>
      <c r="L671" s="163">
        <v>3</v>
      </c>
    </row>
    <row r="672" spans="1:12" x14ac:dyDescent="0.25">
      <c r="A672" s="158" t="s">
        <v>428</v>
      </c>
      <c r="B672" s="158" t="s">
        <v>930</v>
      </c>
      <c r="C672" s="168" t="s">
        <v>280</v>
      </c>
      <c r="D672" s="167">
        <v>2525399385</v>
      </c>
      <c r="E672" s="166">
        <v>723066626</v>
      </c>
      <c r="F672" s="158" t="s">
        <v>247</v>
      </c>
      <c r="G672" s="165">
        <v>39166</v>
      </c>
      <c r="H672" s="51">
        <f t="shared" ca="1" si="20"/>
        <v>9</v>
      </c>
      <c r="I672" s="164" t="str">
        <f t="shared" si="21"/>
        <v>March</v>
      </c>
      <c r="J672" s="52"/>
      <c r="K672" s="53">
        <v>39456</v>
      </c>
      <c r="L672" s="163">
        <v>3</v>
      </c>
    </row>
    <row r="673" spans="1:12" x14ac:dyDescent="0.25">
      <c r="A673" s="158" t="s">
        <v>721</v>
      </c>
      <c r="B673" s="158" t="s">
        <v>930</v>
      </c>
      <c r="C673" s="168" t="s">
        <v>271</v>
      </c>
      <c r="D673" s="167">
        <v>9197446192</v>
      </c>
      <c r="E673" s="166">
        <v>964255290</v>
      </c>
      <c r="F673" s="158" t="s">
        <v>256</v>
      </c>
      <c r="G673" s="165">
        <v>40746</v>
      </c>
      <c r="H673" s="51">
        <f t="shared" ca="1" si="20"/>
        <v>5</v>
      </c>
      <c r="I673" s="164" t="str">
        <f t="shared" si="21"/>
        <v>July</v>
      </c>
      <c r="J673" s="52" t="s">
        <v>283</v>
      </c>
      <c r="K673" s="53">
        <v>41988</v>
      </c>
      <c r="L673" s="163">
        <v>3</v>
      </c>
    </row>
    <row r="674" spans="1:12" x14ac:dyDescent="0.25">
      <c r="A674" s="158" t="s">
        <v>883</v>
      </c>
      <c r="B674" s="158" t="s">
        <v>930</v>
      </c>
      <c r="C674" s="168" t="s">
        <v>280</v>
      </c>
      <c r="D674" s="167">
        <v>9198631557</v>
      </c>
      <c r="E674" s="166">
        <v>843299208</v>
      </c>
      <c r="F674" s="158" t="s">
        <v>261</v>
      </c>
      <c r="G674" s="165">
        <v>40263</v>
      </c>
      <c r="H674" s="51">
        <f t="shared" ca="1" si="20"/>
        <v>6</v>
      </c>
      <c r="I674" s="164" t="str">
        <f t="shared" si="21"/>
        <v>March</v>
      </c>
      <c r="J674" s="52" t="s">
        <v>276</v>
      </c>
      <c r="K674" s="53">
        <v>58896</v>
      </c>
      <c r="L674" s="163">
        <v>5</v>
      </c>
    </row>
    <row r="675" spans="1:12" x14ac:dyDescent="0.25">
      <c r="A675" s="158" t="s">
        <v>884</v>
      </c>
      <c r="B675" s="158" t="s">
        <v>930</v>
      </c>
      <c r="C675" s="168" t="s">
        <v>266</v>
      </c>
      <c r="D675" s="167">
        <v>9195060466</v>
      </c>
      <c r="E675" s="166">
        <v>941937371</v>
      </c>
      <c r="F675" s="158" t="s">
        <v>256</v>
      </c>
      <c r="G675" s="165">
        <v>36504</v>
      </c>
      <c r="H675" s="51">
        <f t="shared" ca="1" si="20"/>
        <v>16</v>
      </c>
      <c r="I675" s="164" t="str">
        <f t="shared" si="21"/>
        <v>December</v>
      </c>
      <c r="J675" s="52" t="s">
        <v>257</v>
      </c>
      <c r="K675" s="53">
        <v>103584</v>
      </c>
      <c r="L675" s="163">
        <v>4</v>
      </c>
    </row>
    <row r="676" spans="1:12" x14ac:dyDescent="0.25">
      <c r="A676" s="158" t="s">
        <v>526</v>
      </c>
      <c r="B676" s="158" t="s">
        <v>930</v>
      </c>
      <c r="C676" s="168" t="s">
        <v>285</v>
      </c>
      <c r="D676" s="167">
        <v>2525202015</v>
      </c>
      <c r="E676" s="166">
        <v>151532569</v>
      </c>
      <c r="F676" s="158" t="s">
        <v>247</v>
      </c>
      <c r="G676" s="165">
        <v>41291</v>
      </c>
      <c r="H676" s="51">
        <f t="shared" ca="1" si="20"/>
        <v>3</v>
      </c>
      <c r="I676" s="164" t="str">
        <f t="shared" si="21"/>
        <v>January</v>
      </c>
      <c r="J676" s="52"/>
      <c r="K676" s="53">
        <v>66612</v>
      </c>
      <c r="L676" s="163">
        <v>3</v>
      </c>
    </row>
    <row r="677" spans="1:12" x14ac:dyDescent="0.25">
      <c r="A677" s="158" t="s">
        <v>725</v>
      </c>
      <c r="B677" s="158" t="s">
        <v>930</v>
      </c>
      <c r="C677" s="168" t="s">
        <v>271</v>
      </c>
      <c r="D677" s="167">
        <v>9192729524</v>
      </c>
      <c r="E677" s="166">
        <v>308317457</v>
      </c>
      <c r="F677" s="158" t="s">
        <v>256</v>
      </c>
      <c r="G677" s="165">
        <v>41408</v>
      </c>
      <c r="H677" s="51">
        <f t="shared" ca="1" si="20"/>
        <v>3</v>
      </c>
      <c r="I677" s="164" t="str">
        <f t="shared" si="21"/>
        <v>May</v>
      </c>
      <c r="J677" s="52" t="s">
        <v>257</v>
      </c>
      <c r="K677" s="53">
        <v>27636</v>
      </c>
      <c r="L677" s="163">
        <v>4</v>
      </c>
    </row>
    <row r="678" spans="1:12" x14ac:dyDescent="0.25">
      <c r="A678" s="158" t="s">
        <v>810</v>
      </c>
      <c r="B678" s="158" t="s">
        <v>930</v>
      </c>
      <c r="C678" s="168" t="s">
        <v>271</v>
      </c>
      <c r="D678" s="167">
        <v>2528238755</v>
      </c>
      <c r="E678" s="166">
        <v>918436287</v>
      </c>
      <c r="F678" s="158" t="s">
        <v>247</v>
      </c>
      <c r="G678" s="165">
        <v>33921</v>
      </c>
      <c r="H678" s="51">
        <f t="shared" ca="1" si="20"/>
        <v>24</v>
      </c>
      <c r="I678" s="164" t="str">
        <f t="shared" si="21"/>
        <v>November</v>
      </c>
      <c r="J678" s="52"/>
      <c r="K678" s="53">
        <v>76332</v>
      </c>
      <c r="L678" s="163">
        <v>5</v>
      </c>
    </row>
    <row r="679" spans="1:12" x14ac:dyDescent="0.25">
      <c r="A679" s="158" t="s">
        <v>643</v>
      </c>
      <c r="B679" s="158" t="s">
        <v>930</v>
      </c>
      <c r="C679" s="168" t="s">
        <v>245</v>
      </c>
      <c r="D679" s="167">
        <v>9198443818</v>
      </c>
      <c r="E679" s="166">
        <v>610340294</v>
      </c>
      <c r="F679" s="158" t="s">
        <v>247</v>
      </c>
      <c r="G679" s="165">
        <v>34548</v>
      </c>
      <c r="H679" s="51">
        <f t="shared" ca="1" si="20"/>
        <v>22</v>
      </c>
      <c r="I679" s="164" t="str">
        <f t="shared" si="21"/>
        <v>August</v>
      </c>
      <c r="J679" s="52"/>
      <c r="K679" s="53">
        <v>84360</v>
      </c>
      <c r="L679" s="163">
        <v>3</v>
      </c>
    </row>
    <row r="680" spans="1:12" x14ac:dyDescent="0.25">
      <c r="A680" s="158" t="s">
        <v>812</v>
      </c>
      <c r="B680" s="158" t="s">
        <v>930</v>
      </c>
      <c r="C680" s="168" t="s">
        <v>271</v>
      </c>
      <c r="D680" s="167">
        <v>2526026842</v>
      </c>
      <c r="E680" s="166">
        <v>375875723</v>
      </c>
      <c r="F680" s="158" t="s">
        <v>247</v>
      </c>
      <c r="G680" s="165">
        <v>35451</v>
      </c>
      <c r="H680" s="51">
        <f t="shared" ca="1" si="20"/>
        <v>19</v>
      </c>
      <c r="I680" s="164" t="str">
        <f t="shared" si="21"/>
        <v>January</v>
      </c>
      <c r="J680" s="52"/>
      <c r="K680" s="53">
        <v>77116</v>
      </c>
      <c r="L680" s="163">
        <v>3</v>
      </c>
    </row>
    <row r="681" spans="1:12" x14ac:dyDescent="0.25">
      <c r="A681" s="158" t="s">
        <v>645</v>
      </c>
      <c r="B681" s="158" t="s">
        <v>930</v>
      </c>
      <c r="C681" s="168" t="s">
        <v>271</v>
      </c>
      <c r="D681" s="167">
        <v>2526718651</v>
      </c>
      <c r="E681" s="166">
        <v>671823263</v>
      </c>
      <c r="F681" s="158" t="s">
        <v>256</v>
      </c>
      <c r="G681" s="165">
        <v>41365</v>
      </c>
      <c r="H681" s="51">
        <f t="shared" ca="1" si="20"/>
        <v>3</v>
      </c>
      <c r="I681" s="164" t="str">
        <f t="shared" si="21"/>
        <v>April</v>
      </c>
      <c r="J681" s="52" t="s">
        <v>257</v>
      </c>
      <c r="K681" s="53">
        <v>103968</v>
      </c>
      <c r="L681" s="163">
        <v>3</v>
      </c>
    </row>
    <row r="682" spans="1:12" x14ac:dyDescent="0.25">
      <c r="A682" s="158" t="s">
        <v>536</v>
      </c>
      <c r="B682" s="158" t="s">
        <v>930</v>
      </c>
      <c r="C682" s="168" t="s">
        <v>280</v>
      </c>
      <c r="D682" s="167">
        <v>9196648050</v>
      </c>
      <c r="E682" s="166">
        <v>733358713</v>
      </c>
      <c r="F682" s="158" t="s">
        <v>247</v>
      </c>
      <c r="G682" s="165">
        <v>36066</v>
      </c>
      <c r="H682" s="51">
        <f t="shared" ca="1" si="20"/>
        <v>18</v>
      </c>
      <c r="I682" s="164" t="str">
        <f t="shared" si="21"/>
        <v>September</v>
      </c>
      <c r="J682" s="52"/>
      <c r="K682" s="53">
        <v>105396</v>
      </c>
      <c r="L682" s="163">
        <v>2</v>
      </c>
    </row>
    <row r="683" spans="1:12" x14ac:dyDescent="0.25">
      <c r="A683" s="158" t="s">
        <v>815</v>
      </c>
      <c r="B683" s="158" t="s">
        <v>930</v>
      </c>
      <c r="C683" s="168" t="s">
        <v>285</v>
      </c>
      <c r="D683" s="167">
        <v>2524877123</v>
      </c>
      <c r="E683" s="166">
        <v>892040187</v>
      </c>
      <c r="F683" s="158" t="s">
        <v>256</v>
      </c>
      <c r="G683" s="165">
        <v>35014</v>
      </c>
      <c r="H683" s="51">
        <f t="shared" ca="1" si="20"/>
        <v>21</v>
      </c>
      <c r="I683" s="164" t="str">
        <f t="shared" si="21"/>
        <v>November</v>
      </c>
      <c r="J683" s="52" t="s">
        <v>283</v>
      </c>
      <c r="K683" s="53">
        <v>104664</v>
      </c>
      <c r="L683" s="163">
        <v>1</v>
      </c>
    </row>
    <row r="684" spans="1:12" x14ac:dyDescent="0.25">
      <c r="A684" s="158" t="s">
        <v>540</v>
      </c>
      <c r="B684" s="158" t="s">
        <v>930</v>
      </c>
      <c r="C684" s="168" t="s">
        <v>266</v>
      </c>
      <c r="D684" s="167">
        <v>2521202348</v>
      </c>
      <c r="E684" s="166">
        <v>758001890</v>
      </c>
      <c r="F684" s="158" t="s">
        <v>261</v>
      </c>
      <c r="G684" s="165">
        <v>36025</v>
      </c>
      <c r="H684" s="51">
        <f t="shared" ca="1" si="20"/>
        <v>18</v>
      </c>
      <c r="I684" s="164" t="str">
        <f t="shared" si="21"/>
        <v>August</v>
      </c>
      <c r="J684" s="52" t="s">
        <v>283</v>
      </c>
      <c r="K684" s="53">
        <v>45726</v>
      </c>
      <c r="L684" s="163">
        <v>2</v>
      </c>
    </row>
    <row r="685" spans="1:12" x14ac:dyDescent="0.25">
      <c r="A685" s="158" t="s">
        <v>981</v>
      </c>
      <c r="B685" s="158" t="s">
        <v>930</v>
      </c>
      <c r="C685" s="168" t="s">
        <v>251</v>
      </c>
      <c r="D685" s="167">
        <v>2522749909</v>
      </c>
      <c r="E685" s="166">
        <v>900160539</v>
      </c>
      <c r="F685" s="158" t="s">
        <v>261</v>
      </c>
      <c r="G685" s="165">
        <v>37093</v>
      </c>
      <c r="H685" s="51">
        <f t="shared" ca="1" si="20"/>
        <v>15</v>
      </c>
      <c r="I685" s="164" t="str">
        <f t="shared" si="21"/>
        <v>July</v>
      </c>
      <c r="J685" s="52" t="s">
        <v>267</v>
      </c>
      <c r="K685" s="53">
        <v>23790</v>
      </c>
      <c r="L685" s="163">
        <v>2</v>
      </c>
    </row>
    <row r="686" spans="1:12" x14ac:dyDescent="0.25">
      <c r="A686" s="158" t="s">
        <v>982</v>
      </c>
      <c r="B686" s="158" t="s">
        <v>930</v>
      </c>
      <c r="C686" s="168" t="s">
        <v>285</v>
      </c>
      <c r="D686" s="167">
        <v>2521277028</v>
      </c>
      <c r="E686" s="166">
        <v>904497673</v>
      </c>
      <c r="F686" s="158" t="s">
        <v>247</v>
      </c>
      <c r="G686" s="165">
        <v>33872</v>
      </c>
      <c r="H686" s="51">
        <f t="shared" ca="1" si="20"/>
        <v>24</v>
      </c>
      <c r="I686" s="164" t="str">
        <f t="shared" si="21"/>
        <v>September</v>
      </c>
      <c r="J686" s="52"/>
      <c r="K686" s="53">
        <v>28008</v>
      </c>
      <c r="L686" s="163">
        <v>4</v>
      </c>
    </row>
    <row r="687" spans="1:12" x14ac:dyDescent="0.25">
      <c r="A687" s="158" t="s">
        <v>541</v>
      </c>
      <c r="B687" s="158" t="s">
        <v>930</v>
      </c>
      <c r="C687" s="168" t="s">
        <v>271</v>
      </c>
      <c r="D687" s="167">
        <v>9196999991</v>
      </c>
      <c r="E687" s="166">
        <v>793256568</v>
      </c>
      <c r="F687" s="158" t="s">
        <v>256</v>
      </c>
      <c r="G687" s="165">
        <v>36092</v>
      </c>
      <c r="H687" s="51">
        <f t="shared" ca="1" si="20"/>
        <v>18</v>
      </c>
      <c r="I687" s="164" t="str">
        <f t="shared" si="21"/>
        <v>October</v>
      </c>
      <c r="J687" s="52" t="s">
        <v>257</v>
      </c>
      <c r="K687" s="53">
        <v>32556</v>
      </c>
      <c r="L687" s="163">
        <v>5</v>
      </c>
    </row>
    <row r="688" spans="1:12" x14ac:dyDescent="0.25">
      <c r="A688" s="158" t="s">
        <v>983</v>
      </c>
      <c r="B688" s="158" t="s">
        <v>930</v>
      </c>
      <c r="C688" s="168" t="s">
        <v>285</v>
      </c>
      <c r="D688" s="167">
        <v>2527091949</v>
      </c>
      <c r="E688" s="166">
        <v>177324163</v>
      </c>
      <c r="F688" s="158" t="s">
        <v>256</v>
      </c>
      <c r="G688" s="165">
        <v>38538</v>
      </c>
      <c r="H688" s="51">
        <f t="shared" ca="1" si="20"/>
        <v>11</v>
      </c>
      <c r="I688" s="164" t="str">
        <f t="shared" si="21"/>
        <v>July</v>
      </c>
      <c r="J688" s="52" t="s">
        <v>283</v>
      </c>
      <c r="K688" s="53">
        <v>57612</v>
      </c>
      <c r="L688" s="163">
        <v>3</v>
      </c>
    </row>
    <row r="689" spans="1:12" x14ac:dyDescent="0.25">
      <c r="A689" s="158" t="s">
        <v>435</v>
      </c>
      <c r="B689" s="158" t="s">
        <v>930</v>
      </c>
      <c r="C689" s="168" t="s">
        <v>271</v>
      </c>
      <c r="D689" s="167">
        <v>2525717431</v>
      </c>
      <c r="E689" s="166">
        <v>111616346</v>
      </c>
      <c r="F689" s="158" t="s">
        <v>247</v>
      </c>
      <c r="G689" s="165">
        <v>34234</v>
      </c>
      <c r="H689" s="51">
        <f t="shared" ca="1" si="20"/>
        <v>23</v>
      </c>
      <c r="I689" s="164" t="str">
        <f t="shared" si="21"/>
        <v>September</v>
      </c>
      <c r="J689" s="52"/>
      <c r="K689" s="53">
        <v>73361</v>
      </c>
      <c r="L689" s="163">
        <v>4</v>
      </c>
    </row>
    <row r="690" spans="1:12" x14ac:dyDescent="0.25">
      <c r="A690" s="158" t="s">
        <v>399</v>
      </c>
      <c r="B690" s="158" t="s">
        <v>930</v>
      </c>
      <c r="C690" s="168" t="s">
        <v>266</v>
      </c>
      <c r="D690" s="167">
        <v>9192913490</v>
      </c>
      <c r="E690" s="166">
        <v>616055292</v>
      </c>
      <c r="F690" s="158" t="s">
        <v>256</v>
      </c>
      <c r="G690" s="165">
        <v>34649</v>
      </c>
      <c r="H690" s="51">
        <f t="shared" ca="1" si="20"/>
        <v>22</v>
      </c>
      <c r="I690" s="164" t="str">
        <f t="shared" si="21"/>
        <v>November</v>
      </c>
      <c r="J690" s="52" t="s">
        <v>267</v>
      </c>
      <c r="K690" s="53">
        <v>38592</v>
      </c>
      <c r="L690" s="163">
        <v>3</v>
      </c>
    </row>
    <row r="691" spans="1:12" x14ac:dyDescent="0.25">
      <c r="A691" s="158" t="s">
        <v>339</v>
      </c>
      <c r="B691" s="158" t="s">
        <v>930</v>
      </c>
      <c r="C691" s="168" t="s">
        <v>285</v>
      </c>
      <c r="D691" s="167">
        <v>2525821616</v>
      </c>
      <c r="E691" s="166">
        <v>800685434</v>
      </c>
      <c r="F691" s="158" t="s">
        <v>256</v>
      </c>
      <c r="G691" s="165">
        <v>37684</v>
      </c>
      <c r="H691" s="51">
        <f t="shared" ca="1" si="20"/>
        <v>13</v>
      </c>
      <c r="I691" s="164" t="str">
        <f t="shared" si="21"/>
        <v>March</v>
      </c>
      <c r="J691" s="52" t="s">
        <v>276</v>
      </c>
      <c r="K691" s="53">
        <v>59916</v>
      </c>
      <c r="L691" s="163">
        <v>1</v>
      </c>
    </row>
    <row r="692" spans="1:12" x14ac:dyDescent="0.25">
      <c r="A692" s="158" t="s">
        <v>986</v>
      </c>
      <c r="B692" s="158" t="s">
        <v>930</v>
      </c>
      <c r="C692" s="168" t="s">
        <v>245</v>
      </c>
      <c r="D692" s="167">
        <v>9198405552</v>
      </c>
      <c r="E692" s="166">
        <v>210491464</v>
      </c>
      <c r="F692" s="158" t="s">
        <v>256</v>
      </c>
      <c r="G692" s="165">
        <v>40330</v>
      </c>
      <c r="H692" s="51">
        <f t="shared" ca="1" si="20"/>
        <v>6</v>
      </c>
      <c r="I692" s="164" t="str">
        <f t="shared" si="21"/>
        <v>June</v>
      </c>
      <c r="J692" s="52" t="s">
        <v>257</v>
      </c>
      <c r="K692" s="53">
        <v>95256</v>
      </c>
      <c r="L692" s="163">
        <v>5</v>
      </c>
    </row>
    <row r="693" spans="1:12" x14ac:dyDescent="0.25">
      <c r="A693" s="158" t="s">
        <v>901</v>
      </c>
      <c r="B693" s="158" t="s">
        <v>930</v>
      </c>
      <c r="C693" s="168" t="s">
        <v>285</v>
      </c>
      <c r="D693" s="167">
        <v>2526129939</v>
      </c>
      <c r="E693" s="166">
        <v>380304349</v>
      </c>
      <c r="F693" s="158" t="s">
        <v>256</v>
      </c>
      <c r="G693" s="165">
        <v>37277</v>
      </c>
      <c r="H693" s="51">
        <f t="shared" ca="1" si="20"/>
        <v>14</v>
      </c>
      <c r="I693" s="164" t="str">
        <f t="shared" si="21"/>
        <v>January</v>
      </c>
      <c r="J693" s="52" t="s">
        <v>283</v>
      </c>
      <c r="K693" s="53">
        <v>42552</v>
      </c>
      <c r="L693" s="163">
        <v>1</v>
      </c>
    </row>
    <row r="694" spans="1:12" x14ac:dyDescent="0.25">
      <c r="A694" s="158" t="s">
        <v>549</v>
      </c>
      <c r="B694" s="158" t="s">
        <v>930</v>
      </c>
      <c r="C694" s="168" t="s">
        <v>245</v>
      </c>
      <c r="D694" s="167">
        <v>2528566597</v>
      </c>
      <c r="E694" s="166">
        <v>262585858</v>
      </c>
      <c r="F694" s="158" t="s">
        <v>261</v>
      </c>
      <c r="G694" s="165">
        <v>36246</v>
      </c>
      <c r="H694" s="51">
        <f t="shared" ca="1" si="20"/>
        <v>17</v>
      </c>
      <c r="I694" s="164" t="str">
        <f t="shared" si="21"/>
        <v>March</v>
      </c>
      <c r="J694" s="52" t="s">
        <v>262</v>
      </c>
      <c r="K694" s="53">
        <v>16428</v>
      </c>
      <c r="L694" s="163">
        <v>5</v>
      </c>
    </row>
    <row r="695" spans="1:12" x14ac:dyDescent="0.25">
      <c r="A695" s="158" t="s">
        <v>701</v>
      </c>
      <c r="B695" s="158" t="s">
        <v>930</v>
      </c>
      <c r="C695" s="168" t="s">
        <v>271</v>
      </c>
      <c r="D695" s="167">
        <v>9195621928</v>
      </c>
      <c r="E695" s="166">
        <v>595022550</v>
      </c>
      <c r="F695" s="158" t="s">
        <v>256</v>
      </c>
      <c r="G695" s="165">
        <v>34685</v>
      </c>
      <c r="H695" s="51">
        <f t="shared" ca="1" si="20"/>
        <v>21</v>
      </c>
      <c r="I695" s="164" t="str">
        <f t="shared" si="21"/>
        <v>December</v>
      </c>
      <c r="J695" s="52" t="s">
        <v>262</v>
      </c>
      <c r="K695" s="53">
        <v>71388</v>
      </c>
      <c r="L695" s="163">
        <v>3</v>
      </c>
    </row>
    <row r="696" spans="1:12" x14ac:dyDescent="0.25">
      <c r="A696" s="158" t="s">
        <v>402</v>
      </c>
      <c r="B696" s="158" t="s">
        <v>930</v>
      </c>
      <c r="C696" s="168" t="s">
        <v>285</v>
      </c>
      <c r="D696" s="167">
        <v>2528249735</v>
      </c>
      <c r="E696" s="166">
        <v>627494412</v>
      </c>
      <c r="F696" s="158" t="s">
        <v>256</v>
      </c>
      <c r="G696" s="165">
        <v>36004</v>
      </c>
      <c r="H696" s="51">
        <f t="shared" ca="1" si="20"/>
        <v>18</v>
      </c>
      <c r="I696" s="164" t="str">
        <f t="shared" si="21"/>
        <v>July</v>
      </c>
      <c r="J696" s="52" t="s">
        <v>257</v>
      </c>
      <c r="K696" s="53">
        <v>70044</v>
      </c>
      <c r="L696" s="163">
        <v>5</v>
      </c>
    </row>
    <row r="697" spans="1:12" x14ac:dyDescent="0.25">
      <c r="A697" s="158" t="s">
        <v>693</v>
      </c>
      <c r="B697" s="158" t="s">
        <v>930</v>
      </c>
      <c r="C697" s="168" t="s">
        <v>285</v>
      </c>
      <c r="D697" s="167">
        <v>2522400087</v>
      </c>
      <c r="E697" s="166">
        <v>717503282</v>
      </c>
      <c r="F697" s="158" t="s">
        <v>247</v>
      </c>
      <c r="G697" s="165">
        <v>41251</v>
      </c>
      <c r="H697" s="51">
        <f t="shared" ca="1" si="20"/>
        <v>3</v>
      </c>
      <c r="I697" s="164" t="str">
        <f t="shared" si="21"/>
        <v>December</v>
      </c>
      <c r="J697" s="52"/>
      <c r="K697" s="53">
        <v>55884</v>
      </c>
      <c r="L697" s="163">
        <v>4</v>
      </c>
    </row>
    <row r="698" spans="1:12" x14ac:dyDescent="0.25">
      <c r="A698" s="158" t="s">
        <v>989</v>
      </c>
      <c r="B698" s="158" t="s">
        <v>930</v>
      </c>
      <c r="C698" s="168" t="s">
        <v>271</v>
      </c>
      <c r="D698" s="167">
        <v>2526609693</v>
      </c>
      <c r="E698" s="166">
        <v>657835603</v>
      </c>
      <c r="F698" s="158" t="s">
        <v>256</v>
      </c>
      <c r="G698" s="165">
        <v>34007</v>
      </c>
      <c r="H698" s="51">
        <f t="shared" ca="1" si="20"/>
        <v>23</v>
      </c>
      <c r="I698" s="164" t="str">
        <f t="shared" si="21"/>
        <v>February</v>
      </c>
      <c r="J698" s="52" t="s">
        <v>257</v>
      </c>
      <c r="K698" s="53">
        <v>29040</v>
      </c>
      <c r="L698" s="163">
        <v>5</v>
      </c>
    </row>
    <row r="699" spans="1:12" x14ac:dyDescent="0.25">
      <c r="A699" s="158" t="s">
        <v>824</v>
      </c>
      <c r="B699" s="158" t="s">
        <v>930</v>
      </c>
      <c r="C699" s="168" t="s">
        <v>245</v>
      </c>
      <c r="D699" s="167">
        <v>2521603964</v>
      </c>
      <c r="E699" s="166">
        <v>145495793</v>
      </c>
      <c r="F699" s="158" t="s">
        <v>261</v>
      </c>
      <c r="G699" s="165">
        <v>35688</v>
      </c>
      <c r="H699" s="51">
        <f t="shared" ca="1" si="20"/>
        <v>19</v>
      </c>
      <c r="I699" s="164" t="str">
        <f t="shared" si="21"/>
        <v>September</v>
      </c>
      <c r="J699" s="52" t="s">
        <v>276</v>
      </c>
      <c r="K699" s="53">
        <v>27600</v>
      </c>
      <c r="L699" s="163">
        <v>4</v>
      </c>
    </row>
    <row r="700" spans="1:12" x14ac:dyDescent="0.25">
      <c r="A700" s="158" t="s">
        <v>414</v>
      </c>
      <c r="B700" s="158" t="s">
        <v>930</v>
      </c>
      <c r="C700" s="168" t="s">
        <v>285</v>
      </c>
      <c r="D700" s="167">
        <v>9196778600</v>
      </c>
      <c r="E700" s="166">
        <v>121173068</v>
      </c>
      <c r="F700" s="158" t="s">
        <v>256</v>
      </c>
      <c r="G700" s="165">
        <v>41296</v>
      </c>
      <c r="H700" s="51">
        <f t="shared" ca="1" si="20"/>
        <v>3</v>
      </c>
      <c r="I700" s="164" t="str">
        <f t="shared" si="21"/>
        <v>January</v>
      </c>
      <c r="J700" s="52" t="s">
        <v>257</v>
      </c>
      <c r="K700" s="53">
        <v>55668</v>
      </c>
      <c r="L700" s="163">
        <v>5</v>
      </c>
    </row>
    <row r="701" spans="1:12" x14ac:dyDescent="0.25">
      <c r="A701" s="158" t="s">
        <v>403</v>
      </c>
      <c r="B701" s="158" t="s">
        <v>930</v>
      </c>
      <c r="C701" s="168" t="s">
        <v>280</v>
      </c>
      <c r="D701" s="167">
        <v>2525261239</v>
      </c>
      <c r="E701" s="166">
        <v>230192897</v>
      </c>
      <c r="F701" s="158" t="s">
        <v>256</v>
      </c>
      <c r="G701" s="165">
        <v>40169</v>
      </c>
      <c r="H701" s="51">
        <f t="shared" ca="1" si="20"/>
        <v>6</v>
      </c>
      <c r="I701" s="164" t="str">
        <f t="shared" si="21"/>
        <v>December</v>
      </c>
      <c r="J701" s="52" t="s">
        <v>262</v>
      </c>
      <c r="K701" s="53">
        <v>82632</v>
      </c>
      <c r="L701" s="163">
        <v>2</v>
      </c>
    </row>
    <row r="702" spans="1:12" x14ac:dyDescent="0.25">
      <c r="A702" s="158" t="s">
        <v>566</v>
      </c>
      <c r="B702" s="158" t="s">
        <v>930</v>
      </c>
      <c r="C702" s="168" t="s">
        <v>280</v>
      </c>
      <c r="D702" s="167">
        <v>2522787318</v>
      </c>
      <c r="E702" s="166">
        <v>364525917</v>
      </c>
      <c r="F702" s="158" t="s">
        <v>256</v>
      </c>
      <c r="G702" s="165">
        <v>34706</v>
      </c>
      <c r="H702" s="51">
        <f t="shared" ca="1" si="20"/>
        <v>21</v>
      </c>
      <c r="I702" s="164" t="str">
        <f t="shared" si="21"/>
        <v>January</v>
      </c>
      <c r="J702" s="52" t="s">
        <v>283</v>
      </c>
      <c r="K702" s="53">
        <v>55692</v>
      </c>
      <c r="L702" s="163">
        <v>2</v>
      </c>
    </row>
    <row r="703" spans="1:12" x14ac:dyDescent="0.25">
      <c r="A703" s="158" t="s">
        <v>442</v>
      </c>
      <c r="B703" s="158" t="s">
        <v>930</v>
      </c>
      <c r="C703" s="168" t="s">
        <v>271</v>
      </c>
      <c r="D703" s="167">
        <v>9196526117</v>
      </c>
      <c r="E703" s="166">
        <v>318723704</v>
      </c>
      <c r="F703" s="158" t="s">
        <v>256</v>
      </c>
      <c r="G703" s="165">
        <v>35153</v>
      </c>
      <c r="H703" s="51">
        <f t="shared" ca="1" si="20"/>
        <v>20</v>
      </c>
      <c r="I703" s="164" t="str">
        <f t="shared" si="21"/>
        <v>March</v>
      </c>
      <c r="J703" s="52" t="s">
        <v>283</v>
      </c>
      <c r="K703" s="53">
        <v>88620</v>
      </c>
      <c r="L703" s="163">
        <v>2</v>
      </c>
    </row>
    <row r="704" spans="1:12" x14ac:dyDescent="0.25">
      <c r="A704" s="169" t="s">
        <v>255</v>
      </c>
      <c r="B704" s="158" t="s">
        <v>930</v>
      </c>
      <c r="C704" s="168" t="s">
        <v>285</v>
      </c>
      <c r="D704" s="167">
        <v>9192727944</v>
      </c>
      <c r="E704" s="166">
        <v>546546374</v>
      </c>
      <c r="F704" s="158" t="s">
        <v>261</v>
      </c>
      <c r="G704" s="165">
        <v>37190</v>
      </c>
      <c r="H704" s="51">
        <f t="shared" ca="1" si="20"/>
        <v>15</v>
      </c>
      <c r="I704" s="164" t="str">
        <f t="shared" si="21"/>
        <v>October</v>
      </c>
      <c r="J704" s="52" t="s">
        <v>283</v>
      </c>
      <c r="K704" s="53">
        <v>31422</v>
      </c>
      <c r="L704" s="163">
        <v>5</v>
      </c>
    </row>
    <row r="705" spans="1:12" x14ac:dyDescent="0.25">
      <c r="A705" s="158" t="s">
        <v>996</v>
      </c>
      <c r="B705" s="158" t="s">
        <v>930</v>
      </c>
      <c r="C705" s="168" t="s">
        <v>280</v>
      </c>
      <c r="D705" s="167">
        <v>2528552110</v>
      </c>
      <c r="E705" s="166">
        <v>749768847</v>
      </c>
      <c r="F705" s="158" t="s">
        <v>247</v>
      </c>
      <c r="G705" s="165">
        <v>36008</v>
      </c>
      <c r="H705" s="51">
        <f t="shared" ca="1" si="20"/>
        <v>18</v>
      </c>
      <c r="I705" s="164" t="str">
        <f t="shared" si="21"/>
        <v>August</v>
      </c>
      <c r="J705" s="52"/>
      <c r="K705" s="53">
        <v>50124</v>
      </c>
      <c r="L705" s="163">
        <v>5</v>
      </c>
    </row>
    <row r="706" spans="1:12" x14ac:dyDescent="0.25">
      <c r="A706" s="158" t="s">
        <v>567</v>
      </c>
      <c r="B706" s="158" t="s">
        <v>930</v>
      </c>
      <c r="C706" s="168" t="s">
        <v>285</v>
      </c>
      <c r="D706" s="167">
        <v>2528217409</v>
      </c>
      <c r="E706" s="166">
        <v>296641985</v>
      </c>
      <c r="F706" s="158" t="s">
        <v>256</v>
      </c>
      <c r="G706" s="165">
        <v>36355</v>
      </c>
      <c r="H706" s="51">
        <f t="shared" ref="H706:H742" ca="1" si="22">DATEDIF(G706,TODAY(),"Y")</f>
        <v>17</v>
      </c>
      <c r="I706" s="164" t="str">
        <f t="shared" ref="I706:I742" si="23">CHOOSE(MONTH(G706),"January","February","March","April","May","June","July","August","September","October","November","December")</f>
        <v>July</v>
      </c>
      <c r="J706" s="52" t="s">
        <v>283</v>
      </c>
      <c r="K706" s="53">
        <v>49656</v>
      </c>
      <c r="L706" s="163">
        <v>2</v>
      </c>
    </row>
    <row r="707" spans="1:12" x14ac:dyDescent="0.25">
      <c r="A707" s="158" t="s">
        <v>570</v>
      </c>
      <c r="B707" s="158" t="s">
        <v>930</v>
      </c>
      <c r="C707" s="168" t="s">
        <v>251</v>
      </c>
      <c r="D707" s="167">
        <v>9192094386</v>
      </c>
      <c r="E707" s="166">
        <v>332494481</v>
      </c>
      <c r="F707" s="158" t="s">
        <v>256</v>
      </c>
      <c r="G707" s="165">
        <v>36808</v>
      </c>
      <c r="H707" s="51">
        <f t="shared" ca="1" si="22"/>
        <v>16</v>
      </c>
      <c r="I707" s="164" t="str">
        <f t="shared" si="23"/>
        <v>October</v>
      </c>
      <c r="J707" s="52" t="s">
        <v>283</v>
      </c>
      <c r="K707" s="53">
        <v>58092</v>
      </c>
      <c r="L707" s="163">
        <v>5</v>
      </c>
    </row>
    <row r="708" spans="1:12" x14ac:dyDescent="0.25">
      <c r="A708" s="158" t="s">
        <v>576</v>
      </c>
      <c r="B708" s="158" t="s">
        <v>930</v>
      </c>
      <c r="C708" s="168" t="s">
        <v>245</v>
      </c>
      <c r="D708" s="167">
        <v>9197103200</v>
      </c>
      <c r="E708" s="166">
        <v>502580266</v>
      </c>
      <c r="F708" s="158" t="s">
        <v>252</v>
      </c>
      <c r="G708" s="165">
        <v>39374</v>
      </c>
      <c r="H708" s="51">
        <f t="shared" ca="1" si="22"/>
        <v>9</v>
      </c>
      <c r="I708" s="164" t="str">
        <f t="shared" si="23"/>
        <v>October</v>
      </c>
      <c r="J708" s="52"/>
      <c r="K708" s="53">
        <v>44813</v>
      </c>
      <c r="L708" s="163">
        <v>2</v>
      </c>
    </row>
    <row r="709" spans="1:12" x14ac:dyDescent="0.25">
      <c r="A709" s="158" t="s">
        <v>350</v>
      </c>
      <c r="B709" s="158" t="s">
        <v>930</v>
      </c>
      <c r="C709" s="168" t="s">
        <v>285</v>
      </c>
      <c r="D709" s="167">
        <v>9194900514</v>
      </c>
      <c r="E709" s="166">
        <v>186346711</v>
      </c>
      <c r="F709" s="158" t="s">
        <v>256</v>
      </c>
      <c r="G709" s="165">
        <v>37347</v>
      </c>
      <c r="H709" s="51">
        <f t="shared" ca="1" si="22"/>
        <v>14</v>
      </c>
      <c r="I709" s="164" t="str">
        <f t="shared" si="23"/>
        <v>April</v>
      </c>
      <c r="J709" s="52" t="s">
        <v>262</v>
      </c>
      <c r="K709" s="53">
        <v>86364</v>
      </c>
      <c r="L709" s="163">
        <v>4</v>
      </c>
    </row>
    <row r="710" spans="1:12" x14ac:dyDescent="0.25">
      <c r="A710" s="158" t="s">
        <v>284</v>
      </c>
      <c r="B710" s="158" t="s">
        <v>930</v>
      </c>
      <c r="C710" s="168" t="s">
        <v>271</v>
      </c>
      <c r="D710" s="167">
        <v>2524141191</v>
      </c>
      <c r="E710" s="166">
        <v>418701946</v>
      </c>
      <c r="F710" s="158" t="s">
        <v>261</v>
      </c>
      <c r="G710" s="165">
        <v>34882</v>
      </c>
      <c r="H710" s="51">
        <f t="shared" ca="1" si="22"/>
        <v>21</v>
      </c>
      <c r="I710" s="164" t="str">
        <f t="shared" si="23"/>
        <v>July</v>
      </c>
      <c r="J710" s="52" t="s">
        <v>257</v>
      </c>
      <c r="K710" s="53">
        <v>59454</v>
      </c>
      <c r="L710" s="163">
        <v>2</v>
      </c>
    </row>
    <row r="711" spans="1:12" x14ac:dyDescent="0.25">
      <c r="A711" s="158" t="s">
        <v>829</v>
      </c>
      <c r="B711" s="158" t="s">
        <v>930</v>
      </c>
      <c r="C711" s="168" t="s">
        <v>285</v>
      </c>
      <c r="D711" s="167">
        <v>9197049910</v>
      </c>
      <c r="E711" s="166">
        <v>283476654</v>
      </c>
      <c r="F711" s="158" t="s">
        <v>256</v>
      </c>
      <c r="G711" s="165">
        <v>34409</v>
      </c>
      <c r="H711" s="51">
        <f t="shared" ca="1" si="22"/>
        <v>22</v>
      </c>
      <c r="I711" s="164" t="str">
        <f t="shared" si="23"/>
        <v>March</v>
      </c>
      <c r="J711" s="52" t="s">
        <v>262</v>
      </c>
      <c r="K711" s="53">
        <v>55860</v>
      </c>
      <c r="L711" s="163">
        <v>4</v>
      </c>
    </row>
    <row r="712" spans="1:12" x14ac:dyDescent="0.25">
      <c r="A712" s="158" t="s">
        <v>461</v>
      </c>
      <c r="B712" s="158" t="s">
        <v>930</v>
      </c>
      <c r="C712" s="168" t="s">
        <v>280</v>
      </c>
      <c r="D712" s="167">
        <v>9191630739</v>
      </c>
      <c r="E712" s="166">
        <v>643984096</v>
      </c>
      <c r="F712" s="158" t="s">
        <v>247</v>
      </c>
      <c r="G712" s="165">
        <v>34141</v>
      </c>
      <c r="H712" s="51">
        <f t="shared" ca="1" si="22"/>
        <v>23</v>
      </c>
      <c r="I712" s="164" t="str">
        <f t="shared" si="23"/>
        <v>June</v>
      </c>
      <c r="J712" s="52"/>
      <c r="K712" s="53">
        <v>31224</v>
      </c>
      <c r="L712" s="163">
        <v>5</v>
      </c>
    </row>
    <row r="713" spans="1:12" x14ac:dyDescent="0.25">
      <c r="A713" s="158" t="s">
        <v>664</v>
      </c>
      <c r="B713" s="158" t="s">
        <v>930</v>
      </c>
      <c r="C713" s="168" t="s">
        <v>285</v>
      </c>
      <c r="D713" s="167">
        <v>9196354278</v>
      </c>
      <c r="E713" s="166">
        <v>458734969</v>
      </c>
      <c r="F713" s="158" t="s">
        <v>256</v>
      </c>
      <c r="G713" s="165">
        <v>40456</v>
      </c>
      <c r="H713" s="51">
        <f t="shared" ca="1" si="22"/>
        <v>6</v>
      </c>
      <c r="I713" s="164" t="str">
        <f t="shared" si="23"/>
        <v>October</v>
      </c>
      <c r="J713" s="52" t="s">
        <v>257</v>
      </c>
      <c r="K713" s="53">
        <v>98844</v>
      </c>
      <c r="L713" s="163">
        <v>5</v>
      </c>
    </row>
    <row r="714" spans="1:12" x14ac:dyDescent="0.25">
      <c r="A714" s="158" t="s">
        <v>354</v>
      </c>
      <c r="B714" s="158" t="s">
        <v>930</v>
      </c>
      <c r="C714" s="168" t="s">
        <v>285</v>
      </c>
      <c r="D714" s="167">
        <v>2521628807</v>
      </c>
      <c r="E714" s="166">
        <v>249416723</v>
      </c>
      <c r="F714" s="158" t="s">
        <v>256</v>
      </c>
      <c r="G714" s="165">
        <v>36753</v>
      </c>
      <c r="H714" s="51">
        <f t="shared" ca="1" si="22"/>
        <v>16</v>
      </c>
      <c r="I714" s="164" t="str">
        <f t="shared" si="23"/>
        <v>August</v>
      </c>
      <c r="J714" s="52" t="s">
        <v>262</v>
      </c>
      <c r="K714" s="53">
        <v>77364</v>
      </c>
      <c r="L714" s="163">
        <v>5</v>
      </c>
    </row>
    <row r="715" spans="1:12" x14ac:dyDescent="0.25">
      <c r="A715" s="158" t="s">
        <v>462</v>
      </c>
      <c r="B715" s="158" t="s">
        <v>930</v>
      </c>
      <c r="C715" s="168" t="s">
        <v>266</v>
      </c>
      <c r="D715" s="167">
        <v>9198986390</v>
      </c>
      <c r="E715" s="166">
        <v>120224342</v>
      </c>
      <c r="F715" s="158" t="s">
        <v>252</v>
      </c>
      <c r="G715" s="165">
        <v>37186</v>
      </c>
      <c r="H715" s="51">
        <f t="shared" ca="1" si="22"/>
        <v>15</v>
      </c>
      <c r="I715" s="164" t="str">
        <f t="shared" si="23"/>
        <v>October</v>
      </c>
      <c r="J715" s="52"/>
      <c r="K715" s="53">
        <v>39043</v>
      </c>
      <c r="L715" s="163">
        <v>2</v>
      </c>
    </row>
    <row r="716" spans="1:12" x14ac:dyDescent="0.25">
      <c r="A716" s="158" t="s">
        <v>446</v>
      </c>
      <c r="B716" s="158" t="s">
        <v>930</v>
      </c>
      <c r="C716" s="168" t="s">
        <v>245</v>
      </c>
      <c r="D716" s="167">
        <v>2522952173</v>
      </c>
      <c r="E716" s="166">
        <v>667745362</v>
      </c>
      <c r="F716" s="158" t="s">
        <v>247</v>
      </c>
      <c r="G716" s="165">
        <v>40456</v>
      </c>
      <c r="H716" s="51">
        <f t="shared" ca="1" si="22"/>
        <v>6</v>
      </c>
      <c r="I716" s="164" t="str">
        <f t="shared" si="23"/>
        <v>October</v>
      </c>
      <c r="J716" s="52"/>
      <c r="K716" s="53">
        <v>103248</v>
      </c>
      <c r="L716" s="163">
        <v>5</v>
      </c>
    </row>
    <row r="717" spans="1:12" x14ac:dyDescent="0.25">
      <c r="A717" s="158" t="s">
        <v>741</v>
      </c>
      <c r="B717" s="158" t="s">
        <v>930</v>
      </c>
      <c r="C717" s="168" t="s">
        <v>266</v>
      </c>
      <c r="D717" s="167">
        <v>2526412482</v>
      </c>
      <c r="E717" s="166">
        <v>626648632</v>
      </c>
      <c r="F717" s="158" t="s">
        <v>247</v>
      </c>
      <c r="G717" s="165">
        <v>38181</v>
      </c>
      <c r="H717" s="51">
        <f t="shared" ca="1" si="22"/>
        <v>12</v>
      </c>
      <c r="I717" s="164" t="str">
        <f t="shared" si="23"/>
        <v>July</v>
      </c>
      <c r="J717" s="52"/>
      <c r="K717" s="53">
        <v>58908</v>
      </c>
      <c r="L717" s="163">
        <v>4</v>
      </c>
    </row>
    <row r="718" spans="1:12" x14ac:dyDescent="0.25">
      <c r="A718" s="158" t="s">
        <v>836</v>
      </c>
      <c r="B718" s="158" t="s">
        <v>930</v>
      </c>
      <c r="C718" s="168" t="s">
        <v>280</v>
      </c>
      <c r="D718" s="167">
        <v>2522304625</v>
      </c>
      <c r="E718" s="166">
        <v>276873359</v>
      </c>
      <c r="F718" s="158" t="s">
        <v>256</v>
      </c>
      <c r="G718" s="165">
        <v>39899</v>
      </c>
      <c r="H718" s="51">
        <f t="shared" ca="1" si="22"/>
        <v>7</v>
      </c>
      <c r="I718" s="164" t="str">
        <f t="shared" si="23"/>
        <v>March</v>
      </c>
      <c r="J718" s="52" t="s">
        <v>267</v>
      </c>
      <c r="K718" s="53">
        <v>30828</v>
      </c>
      <c r="L718" s="163">
        <v>2</v>
      </c>
    </row>
    <row r="719" spans="1:12" x14ac:dyDescent="0.25">
      <c r="A719" s="158" t="s">
        <v>358</v>
      </c>
      <c r="B719" s="158" t="s">
        <v>930</v>
      </c>
      <c r="C719" s="168" t="s">
        <v>271</v>
      </c>
      <c r="D719" s="167">
        <v>2528444054</v>
      </c>
      <c r="E719" s="166">
        <v>750006979</v>
      </c>
      <c r="F719" s="158" t="s">
        <v>261</v>
      </c>
      <c r="G719" s="165">
        <v>34770</v>
      </c>
      <c r="H719" s="51">
        <f t="shared" ca="1" si="22"/>
        <v>21</v>
      </c>
      <c r="I719" s="164" t="str">
        <f t="shared" si="23"/>
        <v>March</v>
      </c>
      <c r="J719" s="52" t="s">
        <v>267</v>
      </c>
      <c r="K719" s="53">
        <v>33252</v>
      </c>
      <c r="L719" s="163">
        <v>3</v>
      </c>
    </row>
    <row r="720" spans="1:12" x14ac:dyDescent="0.25">
      <c r="A720" s="158" t="s">
        <v>1011</v>
      </c>
      <c r="B720" s="158" t="s">
        <v>930</v>
      </c>
      <c r="C720" s="168" t="s">
        <v>280</v>
      </c>
      <c r="D720" s="167">
        <v>9193788281</v>
      </c>
      <c r="E720" s="166">
        <v>658842625</v>
      </c>
      <c r="F720" s="158" t="s">
        <v>261</v>
      </c>
      <c r="G720" s="165">
        <v>36781</v>
      </c>
      <c r="H720" s="51">
        <f t="shared" ca="1" si="22"/>
        <v>16</v>
      </c>
      <c r="I720" s="164" t="str">
        <f t="shared" si="23"/>
        <v>September</v>
      </c>
      <c r="J720" s="52" t="s">
        <v>276</v>
      </c>
      <c r="K720" s="53">
        <v>55326</v>
      </c>
      <c r="L720" s="163">
        <v>5</v>
      </c>
    </row>
    <row r="721" spans="1:12" x14ac:dyDescent="0.25">
      <c r="A721" s="158" t="s">
        <v>598</v>
      </c>
      <c r="B721" s="158" t="s">
        <v>930</v>
      </c>
      <c r="C721" s="168" t="s">
        <v>285</v>
      </c>
      <c r="D721" s="167">
        <v>9195790921</v>
      </c>
      <c r="E721" s="166">
        <v>277423593</v>
      </c>
      <c r="F721" s="158" t="s">
        <v>261</v>
      </c>
      <c r="G721" s="165">
        <v>34119</v>
      </c>
      <c r="H721" s="51">
        <f t="shared" ca="1" si="22"/>
        <v>23</v>
      </c>
      <c r="I721" s="164" t="str">
        <f t="shared" si="23"/>
        <v>May</v>
      </c>
      <c r="J721" s="52" t="s">
        <v>283</v>
      </c>
      <c r="K721" s="53">
        <v>16146</v>
      </c>
      <c r="L721" s="163">
        <v>2</v>
      </c>
    </row>
    <row r="722" spans="1:12" x14ac:dyDescent="0.25">
      <c r="A722" s="158" t="s">
        <v>919</v>
      </c>
      <c r="B722" s="158" t="s">
        <v>930</v>
      </c>
      <c r="C722" s="168" t="s">
        <v>285</v>
      </c>
      <c r="D722" s="167">
        <v>2524914916</v>
      </c>
      <c r="E722" s="166">
        <v>240241467</v>
      </c>
      <c r="F722" s="158" t="s">
        <v>252</v>
      </c>
      <c r="G722" s="165">
        <v>36304</v>
      </c>
      <c r="H722" s="51">
        <f t="shared" ca="1" si="22"/>
        <v>17</v>
      </c>
      <c r="I722" s="164" t="str">
        <f t="shared" si="23"/>
        <v>May</v>
      </c>
      <c r="J722" s="52"/>
      <c r="K722" s="53">
        <v>34522</v>
      </c>
      <c r="L722" s="163">
        <v>3</v>
      </c>
    </row>
    <row r="723" spans="1:12" x14ac:dyDescent="0.25">
      <c r="A723" s="158" t="s">
        <v>743</v>
      </c>
      <c r="B723" s="158" t="s">
        <v>930</v>
      </c>
      <c r="C723" s="168" t="s">
        <v>251</v>
      </c>
      <c r="D723" s="167">
        <v>2521789943</v>
      </c>
      <c r="E723" s="166">
        <v>120361975</v>
      </c>
      <c r="F723" s="158" t="s">
        <v>256</v>
      </c>
      <c r="G723" s="165">
        <v>38223</v>
      </c>
      <c r="H723" s="51">
        <f t="shared" ca="1" si="22"/>
        <v>12</v>
      </c>
      <c r="I723" s="164" t="str">
        <f t="shared" si="23"/>
        <v>August</v>
      </c>
      <c r="J723" s="52" t="s">
        <v>276</v>
      </c>
      <c r="K723" s="53">
        <v>72360</v>
      </c>
      <c r="L723" s="163">
        <v>2</v>
      </c>
    </row>
    <row r="724" spans="1:12" x14ac:dyDescent="0.25">
      <c r="A724" s="158" t="s">
        <v>361</v>
      </c>
      <c r="B724" s="158" t="s">
        <v>930</v>
      </c>
      <c r="C724" s="168" t="s">
        <v>285</v>
      </c>
      <c r="D724" s="167">
        <v>9196060038</v>
      </c>
      <c r="E724" s="166">
        <v>144722757</v>
      </c>
      <c r="F724" s="158" t="s">
        <v>247</v>
      </c>
      <c r="G724" s="165">
        <v>34290</v>
      </c>
      <c r="H724" s="51">
        <f t="shared" ca="1" si="22"/>
        <v>22</v>
      </c>
      <c r="I724" s="164" t="str">
        <f t="shared" si="23"/>
        <v>November</v>
      </c>
      <c r="J724" s="52"/>
      <c r="K724" s="53">
        <v>69000</v>
      </c>
      <c r="L724" s="163">
        <v>1</v>
      </c>
    </row>
    <row r="725" spans="1:12" x14ac:dyDescent="0.25">
      <c r="A725" s="158" t="s">
        <v>289</v>
      </c>
      <c r="B725" s="158" t="s">
        <v>930</v>
      </c>
      <c r="C725" s="168" t="s">
        <v>285</v>
      </c>
      <c r="D725" s="167">
        <v>2522780847</v>
      </c>
      <c r="E725" s="166">
        <v>862698919</v>
      </c>
      <c r="F725" s="158" t="s">
        <v>256</v>
      </c>
      <c r="G725" s="165">
        <v>39056</v>
      </c>
      <c r="H725" s="51">
        <f t="shared" ca="1" si="22"/>
        <v>9</v>
      </c>
      <c r="I725" s="164" t="str">
        <f t="shared" si="23"/>
        <v>December</v>
      </c>
      <c r="J725" s="52" t="s">
        <v>262</v>
      </c>
      <c r="K725" s="53">
        <v>57936</v>
      </c>
      <c r="L725" s="163">
        <v>4</v>
      </c>
    </row>
    <row r="726" spans="1:12" x14ac:dyDescent="0.25">
      <c r="A726" s="158" t="s">
        <v>463</v>
      </c>
      <c r="B726" s="158" t="s">
        <v>930</v>
      </c>
      <c r="C726" s="168" t="s">
        <v>266</v>
      </c>
      <c r="D726" s="167">
        <v>9191797370</v>
      </c>
      <c r="E726" s="166">
        <v>592709648</v>
      </c>
      <c r="F726" s="158" t="s">
        <v>247</v>
      </c>
      <c r="G726" s="165">
        <v>37793</v>
      </c>
      <c r="H726" s="51">
        <f t="shared" ca="1" si="22"/>
        <v>13</v>
      </c>
      <c r="I726" s="164" t="str">
        <f t="shared" si="23"/>
        <v>June</v>
      </c>
      <c r="J726" s="52"/>
      <c r="K726" s="53">
        <v>92563</v>
      </c>
      <c r="L726" s="163">
        <v>5</v>
      </c>
    </row>
    <row r="727" spans="1:12" x14ac:dyDescent="0.25">
      <c r="A727" s="158" t="s">
        <v>921</v>
      </c>
      <c r="B727" s="158" t="s">
        <v>930</v>
      </c>
      <c r="C727" s="168" t="s">
        <v>285</v>
      </c>
      <c r="D727" s="167">
        <v>2526088101</v>
      </c>
      <c r="E727" s="166">
        <v>992674973</v>
      </c>
      <c r="F727" s="158" t="s">
        <v>256</v>
      </c>
      <c r="G727" s="165">
        <v>35780</v>
      </c>
      <c r="H727" s="51">
        <f t="shared" ca="1" si="22"/>
        <v>18</v>
      </c>
      <c r="I727" s="164" t="str">
        <f t="shared" si="23"/>
        <v>December</v>
      </c>
      <c r="J727" s="52" t="s">
        <v>267</v>
      </c>
      <c r="K727" s="53">
        <v>77736</v>
      </c>
      <c r="L727" s="163">
        <v>5</v>
      </c>
    </row>
    <row r="728" spans="1:12" x14ac:dyDescent="0.25">
      <c r="A728" s="158" t="s">
        <v>746</v>
      </c>
      <c r="B728" s="158" t="s">
        <v>930</v>
      </c>
      <c r="C728" s="168" t="s">
        <v>266</v>
      </c>
      <c r="D728" s="167">
        <v>9191657646</v>
      </c>
      <c r="E728" s="166">
        <v>147683641</v>
      </c>
      <c r="F728" s="158" t="s">
        <v>247</v>
      </c>
      <c r="G728" s="165">
        <v>41062</v>
      </c>
      <c r="H728" s="51">
        <f t="shared" ca="1" si="22"/>
        <v>4</v>
      </c>
      <c r="I728" s="164" t="str">
        <f t="shared" si="23"/>
        <v>June</v>
      </c>
      <c r="J728" s="52"/>
      <c r="K728" s="53">
        <v>56736</v>
      </c>
      <c r="L728" s="163">
        <v>1</v>
      </c>
    </row>
    <row r="729" spans="1:12" x14ac:dyDescent="0.25">
      <c r="A729" s="158" t="s">
        <v>610</v>
      </c>
      <c r="B729" s="158" t="s">
        <v>930</v>
      </c>
      <c r="C729" s="168" t="s">
        <v>285</v>
      </c>
      <c r="D729" s="167">
        <v>2523533906</v>
      </c>
      <c r="E729" s="166">
        <v>695198896</v>
      </c>
      <c r="F729" s="158" t="s">
        <v>247</v>
      </c>
      <c r="G729" s="165">
        <v>36554</v>
      </c>
      <c r="H729" s="51">
        <f t="shared" ca="1" si="22"/>
        <v>16</v>
      </c>
      <c r="I729" s="164" t="str">
        <f t="shared" si="23"/>
        <v>January</v>
      </c>
      <c r="J729" s="52"/>
      <c r="K729" s="53">
        <v>54036</v>
      </c>
      <c r="L729" s="163">
        <v>3</v>
      </c>
    </row>
    <row r="730" spans="1:12" x14ac:dyDescent="0.25">
      <c r="A730" s="158" t="s">
        <v>676</v>
      </c>
      <c r="B730" s="158" t="s">
        <v>930</v>
      </c>
      <c r="C730" s="168" t="s">
        <v>245</v>
      </c>
      <c r="D730" s="167">
        <v>9195157707</v>
      </c>
      <c r="E730" s="166">
        <v>741258203</v>
      </c>
      <c r="F730" s="158" t="s">
        <v>247</v>
      </c>
      <c r="G730" s="165">
        <v>34517</v>
      </c>
      <c r="H730" s="51">
        <f t="shared" ca="1" si="22"/>
        <v>22</v>
      </c>
      <c r="I730" s="164" t="str">
        <f t="shared" si="23"/>
        <v>July</v>
      </c>
      <c r="J730" s="52"/>
      <c r="K730" s="53">
        <v>70954</v>
      </c>
      <c r="L730" s="163">
        <v>4</v>
      </c>
    </row>
    <row r="731" spans="1:12" x14ac:dyDescent="0.25">
      <c r="A731" s="158" t="s">
        <v>366</v>
      </c>
      <c r="B731" s="158" t="s">
        <v>930</v>
      </c>
      <c r="C731" s="168" t="s">
        <v>280</v>
      </c>
      <c r="D731" s="167">
        <v>2527560634</v>
      </c>
      <c r="E731" s="166">
        <v>311309049</v>
      </c>
      <c r="F731" s="158" t="s">
        <v>256</v>
      </c>
      <c r="G731" s="165">
        <v>36971</v>
      </c>
      <c r="H731" s="51">
        <f t="shared" ca="1" si="22"/>
        <v>15</v>
      </c>
      <c r="I731" s="164" t="str">
        <f t="shared" si="23"/>
        <v>March</v>
      </c>
      <c r="J731" s="52" t="s">
        <v>276</v>
      </c>
      <c r="K731" s="53">
        <v>93216</v>
      </c>
      <c r="L731" s="163">
        <v>3</v>
      </c>
    </row>
    <row r="732" spans="1:12" x14ac:dyDescent="0.25">
      <c r="A732" s="158" t="s">
        <v>452</v>
      </c>
      <c r="B732" s="158" t="s">
        <v>930</v>
      </c>
      <c r="C732" s="168" t="s">
        <v>285</v>
      </c>
      <c r="D732" s="167">
        <v>2527780776</v>
      </c>
      <c r="E732" s="166">
        <v>763182349</v>
      </c>
      <c r="F732" s="158" t="s">
        <v>247</v>
      </c>
      <c r="G732" s="165">
        <v>34854</v>
      </c>
      <c r="H732" s="51">
        <f t="shared" ca="1" si="22"/>
        <v>21</v>
      </c>
      <c r="I732" s="164" t="str">
        <f t="shared" si="23"/>
        <v>June</v>
      </c>
      <c r="J732" s="52"/>
      <c r="K732" s="53">
        <v>90660</v>
      </c>
      <c r="L732" s="163">
        <v>3</v>
      </c>
    </row>
    <row r="733" spans="1:12" x14ac:dyDescent="0.25">
      <c r="A733" s="158" t="s">
        <v>400</v>
      </c>
      <c r="B733" s="158" t="s">
        <v>1025</v>
      </c>
      <c r="C733" s="168" t="s">
        <v>266</v>
      </c>
      <c r="D733" s="167">
        <v>2524411859</v>
      </c>
      <c r="E733" s="166">
        <v>443926890</v>
      </c>
      <c r="F733" s="158" t="s">
        <v>256</v>
      </c>
      <c r="G733" s="165">
        <v>38412</v>
      </c>
      <c r="H733" s="51">
        <f t="shared" ca="1" si="22"/>
        <v>11</v>
      </c>
      <c r="I733" s="164" t="str">
        <f t="shared" si="23"/>
        <v>March</v>
      </c>
      <c r="J733" s="52" t="s">
        <v>283</v>
      </c>
      <c r="K733" s="53">
        <v>51360</v>
      </c>
      <c r="L733" s="163">
        <v>5</v>
      </c>
    </row>
    <row r="734" spans="1:12" x14ac:dyDescent="0.25">
      <c r="A734" s="158" t="s">
        <v>732</v>
      </c>
      <c r="B734" s="158" t="s">
        <v>1025</v>
      </c>
      <c r="C734" s="168" t="s">
        <v>245</v>
      </c>
      <c r="D734" s="167">
        <v>9193578185</v>
      </c>
      <c r="E734" s="166">
        <v>797985708</v>
      </c>
      <c r="F734" s="158" t="s">
        <v>256</v>
      </c>
      <c r="G734" s="165">
        <v>37801</v>
      </c>
      <c r="H734" s="51">
        <f t="shared" ca="1" si="22"/>
        <v>13</v>
      </c>
      <c r="I734" s="164" t="str">
        <f t="shared" si="23"/>
        <v>June</v>
      </c>
      <c r="J734" s="52" t="s">
        <v>276</v>
      </c>
      <c r="K734" s="53">
        <v>48816</v>
      </c>
      <c r="L734" s="163">
        <v>5</v>
      </c>
    </row>
    <row r="735" spans="1:12" x14ac:dyDescent="0.25">
      <c r="A735" s="158" t="s">
        <v>302</v>
      </c>
      <c r="B735" s="158" t="s">
        <v>1025</v>
      </c>
      <c r="C735" s="168" t="s">
        <v>271</v>
      </c>
      <c r="D735" s="167">
        <v>9196690862</v>
      </c>
      <c r="E735" s="166">
        <v>510700395</v>
      </c>
      <c r="F735" s="158" t="s">
        <v>256</v>
      </c>
      <c r="G735" s="165">
        <v>37719</v>
      </c>
      <c r="H735" s="51">
        <f t="shared" ca="1" si="22"/>
        <v>13</v>
      </c>
      <c r="I735" s="164" t="str">
        <f t="shared" si="23"/>
        <v>April</v>
      </c>
      <c r="J735" s="52" t="s">
        <v>257</v>
      </c>
      <c r="K735" s="53">
        <v>76404</v>
      </c>
      <c r="L735" s="163">
        <v>5</v>
      </c>
    </row>
    <row r="736" spans="1:12" x14ac:dyDescent="0.25">
      <c r="A736" s="158" t="s">
        <v>673</v>
      </c>
      <c r="B736" s="158" t="s">
        <v>1025</v>
      </c>
      <c r="C736" s="168" t="s">
        <v>271</v>
      </c>
      <c r="D736" s="167">
        <v>9194436681</v>
      </c>
      <c r="E736" s="166">
        <v>106099892</v>
      </c>
      <c r="F736" s="158" t="s">
        <v>247</v>
      </c>
      <c r="G736" s="165">
        <v>41447</v>
      </c>
      <c r="H736" s="51">
        <f t="shared" ca="1" si="22"/>
        <v>3</v>
      </c>
      <c r="I736" s="164" t="str">
        <f t="shared" si="23"/>
        <v>June</v>
      </c>
      <c r="J736" s="52"/>
      <c r="K736" s="53">
        <v>79358</v>
      </c>
      <c r="L736" s="163">
        <v>4</v>
      </c>
    </row>
    <row r="737" spans="1:12" x14ac:dyDescent="0.25">
      <c r="A737" s="158" t="s">
        <v>1022</v>
      </c>
      <c r="B737" s="158" t="s">
        <v>1025</v>
      </c>
      <c r="C737" s="168" t="s">
        <v>245</v>
      </c>
      <c r="D737" s="167">
        <v>9193482736</v>
      </c>
      <c r="E737" s="166">
        <v>776823797</v>
      </c>
      <c r="F737" s="158" t="s">
        <v>247</v>
      </c>
      <c r="G737" s="165">
        <v>34115</v>
      </c>
      <c r="H737" s="51">
        <f t="shared" ca="1" si="22"/>
        <v>23</v>
      </c>
      <c r="I737" s="164" t="str">
        <f t="shared" si="23"/>
        <v>May</v>
      </c>
      <c r="J737" s="52"/>
      <c r="K737" s="53">
        <v>102612</v>
      </c>
      <c r="L737" s="163">
        <v>4</v>
      </c>
    </row>
    <row r="738" spans="1:12" x14ac:dyDescent="0.25">
      <c r="A738" s="158" t="s">
        <v>894</v>
      </c>
      <c r="B738" s="158" t="s">
        <v>1031</v>
      </c>
      <c r="C738" s="168" t="s">
        <v>285</v>
      </c>
      <c r="D738" s="167">
        <v>2521198851</v>
      </c>
      <c r="E738" s="166">
        <v>183135788</v>
      </c>
      <c r="F738" s="158" t="s">
        <v>247</v>
      </c>
      <c r="G738" s="165">
        <v>34731</v>
      </c>
      <c r="H738" s="51">
        <f t="shared" ca="1" si="22"/>
        <v>21</v>
      </c>
      <c r="I738" s="164" t="str">
        <f t="shared" si="23"/>
        <v>February</v>
      </c>
      <c r="J738" s="52"/>
      <c r="K738" s="53">
        <v>72912</v>
      </c>
      <c r="L738" s="163">
        <v>2</v>
      </c>
    </row>
    <row r="739" spans="1:12" x14ac:dyDescent="0.25">
      <c r="A739" s="158" t="s">
        <v>561</v>
      </c>
      <c r="B739" s="158" t="s">
        <v>1031</v>
      </c>
      <c r="C739" s="168" t="s">
        <v>266</v>
      </c>
      <c r="D739" s="167">
        <v>9194137278</v>
      </c>
      <c r="E739" s="166">
        <v>495372474</v>
      </c>
      <c r="F739" s="158" t="s">
        <v>261</v>
      </c>
      <c r="G739" s="165">
        <v>37285</v>
      </c>
      <c r="H739" s="51">
        <f t="shared" ca="1" si="22"/>
        <v>14</v>
      </c>
      <c r="I739" s="164" t="str">
        <f t="shared" si="23"/>
        <v>January</v>
      </c>
      <c r="J739" s="52" t="s">
        <v>257</v>
      </c>
      <c r="K739" s="53">
        <v>37500</v>
      </c>
      <c r="L739" s="163">
        <v>2</v>
      </c>
    </row>
    <row r="740" spans="1:12" x14ac:dyDescent="0.25">
      <c r="A740" s="158" t="s">
        <v>405</v>
      </c>
      <c r="B740" s="158" t="s">
        <v>1031</v>
      </c>
      <c r="C740" s="168" t="s">
        <v>266</v>
      </c>
      <c r="D740" s="167">
        <v>2528873234</v>
      </c>
      <c r="E740" s="166">
        <v>827277063</v>
      </c>
      <c r="F740" s="158" t="s">
        <v>252</v>
      </c>
      <c r="G740" s="165">
        <v>41271</v>
      </c>
      <c r="H740" s="51">
        <f t="shared" ca="1" si="22"/>
        <v>3</v>
      </c>
      <c r="I740" s="164" t="str">
        <f t="shared" si="23"/>
        <v>December</v>
      </c>
      <c r="J740" s="52"/>
      <c r="K740" s="53">
        <v>22853</v>
      </c>
      <c r="L740" s="163">
        <v>1</v>
      </c>
    </row>
    <row r="741" spans="1:12" x14ac:dyDescent="0.25">
      <c r="A741" s="158" t="s">
        <v>406</v>
      </c>
      <c r="B741" s="158" t="s">
        <v>1031</v>
      </c>
      <c r="C741" s="168" t="s">
        <v>285</v>
      </c>
      <c r="D741" s="167">
        <v>9191888279</v>
      </c>
      <c r="E741" s="166">
        <v>978092408</v>
      </c>
      <c r="F741" s="158" t="s">
        <v>247</v>
      </c>
      <c r="G741" s="165">
        <v>35253</v>
      </c>
      <c r="H741" s="51">
        <f t="shared" ca="1" si="22"/>
        <v>20</v>
      </c>
      <c r="I741" s="164" t="str">
        <f t="shared" si="23"/>
        <v>July</v>
      </c>
      <c r="J741" s="52"/>
      <c r="K741" s="53">
        <v>77664</v>
      </c>
      <c r="L741" s="163">
        <v>5</v>
      </c>
    </row>
    <row r="742" spans="1:12" x14ac:dyDescent="0.25">
      <c r="A742" s="158" t="s">
        <v>737</v>
      </c>
      <c r="B742" s="158" t="s">
        <v>1031</v>
      </c>
      <c r="C742" s="168" t="s">
        <v>251</v>
      </c>
      <c r="D742" s="167">
        <v>2524989537</v>
      </c>
      <c r="E742" s="166">
        <v>383616821</v>
      </c>
      <c r="F742" s="158" t="s">
        <v>256</v>
      </c>
      <c r="G742" s="165">
        <v>41112</v>
      </c>
      <c r="H742" s="51">
        <f t="shared" ca="1" si="22"/>
        <v>4</v>
      </c>
      <c r="I742" s="164" t="str">
        <f t="shared" si="23"/>
        <v>July</v>
      </c>
      <c r="J742" s="52" t="s">
        <v>257</v>
      </c>
      <c r="K742" s="53">
        <v>56016</v>
      </c>
      <c r="L742" s="163">
        <v>1</v>
      </c>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36"/>
  <sheetViews>
    <sheetView topLeftCell="A4" zoomScale="145" zoomScaleNormal="145" workbookViewId="0">
      <selection activeCell="B35" sqref="B35"/>
    </sheetView>
  </sheetViews>
  <sheetFormatPr defaultRowHeight="12.75" x14ac:dyDescent="0.2"/>
  <cols>
    <col min="1" max="1" width="19.5703125" style="192" bestFit="1" customWidth="1"/>
    <col min="2" max="2" width="8.85546875" style="192" customWidth="1"/>
    <col min="3" max="5" width="9" style="192" bestFit="1" customWidth="1"/>
    <col min="6" max="6" width="9.140625" style="192"/>
    <col min="7" max="7" width="9.28515625" style="192" customWidth="1"/>
    <col min="8" max="8" width="10.42578125" style="192" bestFit="1" customWidth="1"/>
    <col min="9" max="9" width="8.85546875" style="192" bestFit="1" customWidth="1"/>
    <col min="10" max="10" width="9.140625" style="192"/>
    <col min="11" max="11" width="12.7109375" style="192" bestFit="1" customWidth="1"/>
    <col min="12" max="16384" width="9.140625" style="192"/>
  </cols>
  <sheetData>
    <row r="1" spans="1:12" x14ac:dyDescent="0.2">
      <c r="A1" s="212" t="s">
        <v>1495</v>
      </c>
      <c r="B1" s="211"/>
      <c r="C1" s="211"/>
      <c r="D1" s="211"/>
      <c r="E1" s="211"/>
      <c r="F1" s="211"/>
      <c r="G1" s="211"/>
      <c r="H1" s="211"/>
      <c r="I1" s="211"/>
      <c r="J1" s="193"/>
      <c r="K1" s="210"/>
      <c r="L1" s="193"/>
    </row>
    <row r="2" spans="1:12" x14ac:dyDescent="0.2">
      <c r="A2" s="209"/>
      <c r="B2" s="208" t="s">
        <v>248</v>
      </c>
      <c r="C2" s="208" t="s">
        <v>253</v>
      </c>
      <c r="D2" s="208" t="s">
        <v>258</v>
      </c>
      <c r="E2" s="208" t="s">
        <v>263</v>
      </c>
      <c r="F2" s="208" t="s">
        <v>268</v>
      </c>
      <c r="G2" s="208" t="s">
        <v>273</v>
      </c>
      <c r="H2" s="208" t="s">
        <v>1404</v>
      </c>
      <c r="I2" s="208" t="s">
        <v>1494</v>
      </c>
      <c r="J2" s="193"/>
      <c r="K2" s="207"/>
      <c r="L2" s="193"/>
    </row>
    <row r="3" spans="1:12" x14ac:dyDescent="0.2">
      <c r="A3" s="202" t="s">
        <v>1477</v>
      </c>
      <c r="B3" s="206">
        <v>120</v>
      </c>
      <c r="C3" s="206">
        <v>180</v>
      </c>
      <c r="D3" s="206">
        <v>250</v>
      </c>
      <c r="E3" s="206">
        <v>240</v>
      </c>
      <c r="F3" s="206">
        <v>300</v>
      </c>
      <c r="G3" s="206">
        <v>450</v>
      </c>
      <c r="H3" s="206">
        <f>SUM(B3:G3)</f>
        <v>1540</v>
      </c>
      <c r="I3" s="206">
        <f>AVERAGE(B3:G3)</f>
        <v>256.66666666666669</v>
      </c>
      <c r="J3" s="193"/>
      <c r="K3" s="193"/>
      <c r="L3" s="193"/>
    </row>
    <row r="4" spans="1:12" x14ac:dyDescent="0.2">
      <c r="A4" s="202" t="s">
        <v>1493</v>
      </c>
      <c r="B4" s="203">
        <v>100</v>
      </c>
      <c r="C4" s="203">
        <v>130</v>
      </c>
      <c r="D4" s="203">
        <v>120</v>
      </c>
      <c r="E4" s="203">
        <v>220</v>
      </c>
      <c r="F4" s="203">
        <v>260</v>
      </c>
      <c r="G4" s="203">
        <v>350</v>
      </c>
      <c r="H4" s="203">
        <f>SUM(B4:G4)</f>
        <v>1180</v>
      </c>
      <c r="I4" s="203">
        <f>AVERAGE(B4:G4)</f>
        <v>196.66666666666666</v>
      </c>
      <c r="J4" s="193"/>
      <c r="K4" s="205"/>
      <c r="L4" s="193"/>
    </row>
    <row r="5" spans="1:12" x14ac:dyDescent="0.2">
      <c r="A5" s="202" t="s">
        <v>1492</v>
      </c>
      <c r="B5" s="203">
        <f t="shared" ref="B5:G5" si="0">B3-B4</f>
        <v>20</v>
      </c>
      <c r="C5" s="203">
        <f t="shared" si="0"/>
        <v>50</v>
      </c>
      <c r="D5" s="203">
        <f t="shared" si="0"/>
        <v>130</v>
      </c>
      <c r="E5" s="203">
        <f t="shared" si="0"/>
        <v>20</v>
      </c>
      <c r="F5" s="203">
        <f t="shared" si="0"/>
        <v>40</v>
      </c>
      <c r="G5" s="203">
        <f t="shared" si="0"/>
        <v>100</v>
      </c>
      <c r="H5" s="203">
        <f>SUM(B5:G5)</f>
        <v>360</v>
      </c>
      <c r="I5" s="203">
        <f>AVERAGE(B5:G5)</f>
        <v>60</v>
      </c>
      <c r="J5" s="193"/>
      <c r="K5" s="204"/>
      <c r="L5" s="193"/>
    </row>
    <row r="6" spans="1:12" x14ac:dyDescent="0.2">
      <c r="A6" s="202" t="s">
        <v>1491</v>
      </c>
      <c r="B6" s="203">
        <f>B5</f>
        <v>20</v>
      </c>
      <c r="C6" s="203">
        <f>C5+B6</f>
        <v>70</v>
      </c>
      <c r="D6" s="203">
        <f>D5+C6</f>
        <v>200</v>
      </c>
      <c r="E6" s="203">
        <f>E5+D6</f>
        <v>220</v>
      </c>
      <c r="F6" s="203">
        <f>F5+E6</f>
        <v>260</v>
      </c>
      <c r="G6" s="203">
        <f>G5+F6</f>
        <v>360</v>
      </c>
      <c r="H6" s="203"/>
      <c r="I6" s="203"/>
      <c r="J6" s="193"/>
      <c r="K6" s="193"/>
      <c r="L6" s="193"/>
    </row>
    <row r="7" spans="1:12" ht="20.25" customHeight="1" x14ac:dyDescent="0.2">
      <c r="A7" s="202" t="s">
        <v>1490</v>
      </c>
      <c r="B7" s="201"/>
      <c r="C7" s="201"/>
      <c r="D7" s="201"/>
      <c r="E7" s="201"/>
      <c r="F7" s="201"/>
      <c r="G7" s="201"/>
      <c r="H7" s="200"/>
      <c r="I7" s="200"/>
      <c r="J7" s="193"/>
      <c r="K7" s="193"/>
      <c r="L7" s="193"/>
    </row>
    <row r="8" spans="1:12" x14ac:dyDescent="0.2">
      <c r="A8" s="195" t="s">
        <v>1489</v>
      </c>
      <c r="B8" s="193"/>
      <c r="C8" s="199">
        <f>(C3-B3)/B3</f>
        <v>0.5</v>
      </c>
      <c r="D8" s="199">
        <f>(D3-C3)/C3</f>
        <v>0.3888888888888889</v>
      </c>
      <c r="E8" s="199">
        <f>(E3-D3)/D3</f>
        <v>-0.04</v>
      </c>
      <c r="F8" s="199">
        <f>(F3-E3)/E3</f>
        <v>0.25</v>
      </c>
      <c r="G8" s="199">
        <f>(G3-F3)/F3</f>
        <v>0.5</v>
      </c>
      <c r="H8" s="199">
        <f>(G3-B3)/B3</f>
        <v>2.75</v>
      </c>
      <c r="I8" s="198">
        <f>(G3/B3)^(1/5)-1</f>
        <v>0.30258554234867607</v>
      </c>
      <c r="J8" s="193"/>
      <c r="K8" s="193"/>
      <c r="L8" s="193"/>
    </row>
    <row r="9" spans="1:12" x14ac:dyDescent="0.2">
      <c r="A9" s="195" t="s">
        <v>1488</v>
      </c>
      <c r="B9" s="193"/>
      <c r="C9" s="199">
        <f>(C5-B5)/B5</f>
        <v>1.5</v>
      </c>
      <c r="D9" s="199">
        <f>(D5-C5)/C5</f>
        <v>1.6</v>
      </c>
      <c r="E9" s="199">
        <f>(E5-D5)/D5</f>
        <v>-0.84615384615384615</v>
      </c>
      <c r="F9" s="199">
        <f>(F5-E5)/E5</f>
        <v>1</v>
      </c>
      <c r="G9" s="199">
        <f>(G5-F5)/F5</f>
        <v>1.5</v>
      </c>
      <c r="H9" s="199">
        <f>(G5-B5)/B5</f>
        <v>4</v>
      </c>
      <c r="I9" s="198">
        <f>(G5/B5)^(1/5)-1</f>
        <v>0.3797296614612149</v>
      </c>
      <c r="J9" s="193"/>
      <c r="K9" s="193"/>
      <c r="L9" s="193"/>
    </row>
    <row r="10" spans="1:12" x14ac:dyDescent="0.2">
      <c r="A10" s="195" t="s">
        <v>1487</v>
      </c>
      <c r="B10" s="193"/>
      <c r="C10" s="199">
        <f>(C4-B4)/B4</f>
        <v>0.3</v>
      </c>
      <c r="D10" s="199">
        <f>(D4-C4)/C4</f>
        <v>-7.6923076923076927E-2</v>
      </c>
      <c r="E10" s="199">
        <f>(E4-D4)/D4</f>
        <v>0.83333333333333337</v>
      </c>
      <c r="F10" s="199">
        <f>(F4-E4)/E4</f>
        <v>0.18181818181818182</v>
      </c>
      <c r="G10" s="199">
        <f>(G4-F4)/F4</f>
        <v>0.34615384615384615</v>
      </c>
      <c r="H10" s="199">
        <f>(G4-B4)/B4</f>
        <v>2.5</v>
      </c>
      <c r="I10" s="198">
        <f>(G4/B4)^(1/5)-1</f>
        <v>0.28473515712343933</v>
      </c>
      <c r="J10" s="193"/>
      <c r="K10" s="193"/>
      <c r="L10" s="193"/>
    </row>
    <row r="11" spans="1:12" x14ac:dyDescent="0.2">
      <c r="B11" s="193"/>
      <c r="C11" s="193"/>
      <c r="D11" s="193"/>
      <c r="E11" s="193"/>
      <c r="F11" s="193"/>
      <c r="G11" s="193"/>
      <c r="H11" s="193"/>
      <c r="I11" s="193"/>
      <c r="J11" s="193"/>
      <c r="K11" s="193"/>
      <c r="L11" s="193"/>
    </row>
    <row r="12" spans="1:12" x14ac:dyDescent="0.2">
      <c r="A12" s="195"/>
      <c r="B12" s="194"/>
      <c r="C12" s="194"/>
      <c r="D12" s="194"/>
      <c r="E12" s="194"/>
      <c r="F12" s="194"/>
      <c r="G12" s="194"/>
      <c r="H12" s="194"/>
      <c r="I12" s="193"/>
      <c r="J12" s="193"/>
      <c r="K12" s="193"/>
      <c r="L12" s="193"/>
    </row>
    <row r="13" spans="1:12" x14ac:dyDescent="0.2">
      <c r="A13" s="195"/>
      <c r="B13" s="194"/>
      <c r="C13" s="194"/>
      <c r="D13" s="194"/>
      <c r="E13" s="194"/>
      <c r="F13" s="194"/>
      <c r="G13" s="194"/>
      <c r="H13" s="194"/>
      <c r="I13" s="193"/>
      <c r="J13" s="193"/>
      <c r="K13" s="193"/>
      <c r="L13" s="193"/>
    </row>
    <row r="14" spans="1:12" x14ac:dyDescent="0.2">
      <c r="B14" s="194"/>
      <c r="C14" s="194"/>
      <c r="D14" s="194"/>
      <c r="E14" s="194"/>
      <c r="F14" s="194"/>
      <c r="G14" s="194"/>
      <c r="H14" s="194"/>
      <c r="I14" s="193"/>
      <c r="J14" s="193"/>
      <c r="K14" s="193"/>
      <c r="L14" s="193"/>
    </row>
    <row r="15" spans="1:12" x14ac:dyDescent="0.2">
      <c r="B15" s="194"/>
      <c r="C15" s="194"/>
      <c r="D15" s="194"/>
      <c r="E15" s="194"/>
      <c r="F15" s="194"/>
      <c r="G15" s="194"/>
      <c r="H15" s="194"/>
      <c r="I15" s="193"/>
      <c r="J15" s="193"/>
      <c r="K15" s="193"/>
      <c r="L15" s="193"/>
    </row>
    <row r="16" spans="1:12" x14ac:dyDescent="0.2">
      <c r="A16" s="195"/>
      <c r="B16" s="194"/>
      <c r="C16" s="194"/>
      <c r="D16" s="194"/>
      <c r="E16" s="194"/>
      <c r="F16" s="194"/>
      <c r="G16" s="194"/>
      <c r="H16" s="194"/>
      <c r="I16" s="193"/>
      <c r="J16" s="193"/>
      <c r="K16" s="193"/>
      <c r="L16" s="193"/>
    </row>
    <row r="17" spans="1:12" x14ac:dyDescent="0.2">
      <c r="A17" s="195"/>
      <c r="B17" s="194"/>
      <c r="C17" s="194"/>
      <c r="D17" s="194"/>
      <c r="E17" s="194"/>
      <c r="F17" s="194"/>
      <c r="G17" s="194"/>
      <c r="H17" s="194"/>
      <c r="I17" s="193"/>
      <c r="J17" s="193"/>
      <c r="K17" s="193"/>
      <c r="L17" s="193"/>
    </row>
    <row r="18" spans="1:12" ht="18" x14ac:dyDescent="0.25">
      <c r="A18" s="197"/>
      <c r="B18" s="194"/>
      <c r="C18" s="194"/>
      <c r="D18" s="194"/>
      <c r="E18" s="194"/>
      <c r="F18" s="194"/>
      <c r="G18" s="194"/>
      <c r="H18" s="194"/>
      <c r="I18" s="193"/>
      <c r="J18" s="193"/>
      <c r="K18" s="193"/>
      <c r="L18" s="193"/>
    </row>
    <row r="19" spans="1:12" ht="18.75" x14ac:dyDescent="0.3">
      <c r="A19" s="196"/>
      <c r="B19" s="194"/>
      <c r="C19" s="194"/>
      <c r="D19" s="194"/>
      <c r="E19" s="194"/>
      <c r="F19" s="194"/>
      <c r="G19" s="194"/>
      <c r="H19" s="194"/>
      <c r="I19" s="193"/>
      <c r="J19" s="193"/>
      <c r="K19" s="193"/>
      <c r="L19" s="193"/>
    </row>
    <row r="20" spans="1:12" x14ac:dyDescent="0.2">
      <c r="A20" s="195"/>
      <c r="B20" s="194"/>
      <c r="C20" s="194"/>
      <c r="D20" s="194"/>
      <c r="E20" s="194"/>
      <c r="F20" s="194"/>
      <c r="G20" s="194"/>
      <c r="H20" s="194"/>
      <c r="I20" s="193"/>
      <c r="J20" s="193"/>
      <c r="K20" s="193"/>
      <c r="L20" s="193"/>
    </row>
    <row r="21" spans="1:12" x14ac:dyDescent="0.2">
      <c r="A21" s="195"/>
      <c r="B21" s="194"/>
      <c r="C21" s="194"/>
      <c r="D21" s="194"/>
      <c r="E21" s="194"/>
      <c r="F21" s="194"/>
      <c r="G21" s="194"/>
      <c r="H21" s="194"/>
      <c r="I21" s="193"/>
      <c r="J21" s="193"/>
      <c r="K21" s="193"/>
      <c r="L21" s="193"/>
    </row>
    <row r="22" spans="1:12" x14ac:dyDescent="0.2">
      <c r="A22" s="195"/>
      <c r="B22" s="194"/>
      <c r="C22" s="194"/>
      <c r="D22" s="194"/>
      <c r="E22" s="194"/>
      <c r="F22" s="194"/>
      <c r="G22" s="194"/>
      <c r="H22" s="194"/>
      <c r="I22" s="193"/>
      <c r="J22" s="193"/>
      <c r="K22" s="193"/>
      <c r="L22" s="193"/>
    </row>
    <row r="23" spans="1:12" x14ac:dyDescent="0.2">
      <c r="A23" s="195"/>
      <c r="B23" s="194"/>
      <c r="C23" s="194"/>
      <c r="D23" s="194"/>
      <c r="E23" s="194"/>
      <c r="F23" s="194"/>
      <c r="G23" s="194"/>
      <c r="H23" s="194"/>
      <c r="I23" s="193"/>
      <c r="J23" s="193"/>
      <c r="K23" s="193"/>
      <c r="L23" s="193"/>
    </row>
    <row r="24" spans="1:12" x14ac:dyDescent="0.2">
      <c r="A24" s="195"/>
      <c r="B24" s="194"/>
      <c r="C24" s="194"/>
      <c r="D24" s="194"/>
      <c r="E24" s="194"/>
      <c r="F24" s="194"/>
      <c r="G24" s="194"/>
      <c r="H24" s="194"/>
      <c r="I24" s="193"/>
      <c r="J24" s="193"/>
      <c r="K24" s="193"/>
      <c r="L24" s="193"/>
    </row>
    <row r="25" spans="1:12" x14ac:dyDescent="0.2">
      <c r="A25" s="195"/>
      <c r="B25" s="194"/>
      <c r="C25" s="194"/>
      <c r="D25" s="194"/>
      <c r="E25" s="194"/>
      <c r="F25" s="194"/>
      <c r="G25" s="194"/>
      <c r="H25" s="194"/>
      <c r="I25" s="193"/>
      <c r="J25" s="193"/>
      <c r="K25" s="193"/>
      <c r="L25" s="193"/>
    </row>
    <row r="26" spans="1:12" x14ac:dyDescent="0.2">
      <c r="A26" s="195"/>
      <c r="B26" s="194"/>
      <c r="C26" s="194"/>
      <c r="D26" s="194"/>
      <c r="E26" s="194"/>
      <c r="F26" s="194"/>
      <c r="G26" s="194"/>
      <c r="H26" s="194"/>
      <c r="I26" s="193"/>
      <c r="J26" s="193"/>
      <c r="K26" s="193"/>
      <c r="L26" s="193"/>
    </row>
    <row r="27" spans="1:12" x14ac:dyDescent="0.2">
      <c r="A27" s="195"/>
      <c r="B27" s="194"/>
      <c r="C27" s="194"/>
      <c r="D27" s="194"/>
      <c r="E27" s="194"/>
      <c r="F27" s="194"/>
      <c r="G27" s="194"/>
      <c r="H27" s="194"/>
      <c r="I27" s="193"/>
      <c r="J27" s="193"/>
      <c r="K27" s="193"/>
      <c r="L27" s="193"/>
    </row>
    <row r="28" spans="1:12" x14ac:dyDescent="0.2">
      <c r="A28" s="195"/>
      <c r="B28" s="194"/>
      <c r="C28" s="194"/>
      <c r="D28" s="194"/>
      <c r="E28" s="194"/>
      <c r="F28" s="194"/>
      <c r="G28" s="194"/>
      <c r="H28" s="194"/>
      <c r="I28" s="193"/>
      <c r="J28" s="193"/>
      <c r="K28" s="193"/>
      <c r="L28" s="193"/>
    </row>
    <row r="29" spans="1:12" x14ac:dyDescent="0.2">
      <c r="A29" s="195"/>
      <c r="B29" s="194"/>
      <c r="C29" s="194"/>
      <c r="D29" s="194"/>
      <c r="E29" s="194"/>
      <c r="F29" s="194"/>
      <c r="G29" s="194"/>
      <c r="H29" s="194"/>
      <c r="I29" s="193"/>
      <c r="J29" s="193"/>
      <c r="K29" s="193"/>
      <c r="L29" s="193"/>
    </row>
    <row r="30" spans="1:12" x14ac:dyDescent="0.2">
      <c r="A30" s="195"/>
      <c r="B30" s="194"/>
      <c r="C30" s="194"/>
      <c r="D30" s="194"/>
      <c r="E30" s="194"/>
      <c r="F30" s="194"/>
      <c r="G30" s="194"/>
      <c r="H30" s="194"/>
      <c r="I30" s="193"/>
      <c r="J30" s="193"/>
      <c r="K30" s="193"/>
      <c r="L30" s="193"/>
    </row>
    <row r="35" spans="1:1" x14ac:dyDescent="0.2">
      <c r="A35" s="192" t="s">
        <v>1486</v>
      </c>
    </row>
    <row r="36" spans="1:1" x14ac:dyDescent="0.2">
      <c r="A36" s="192" t="s">
        <v>1485</v>
      </c>
    </row>
  </sheetData>
  <printOptions gridLines="1" gridLinesSet="0"/>
  <pageMargins left="0.75" right="0.75" top="1" bottom="1" header="0.5" footer="0.5"/>
  <pageSetup orientation="portrait" horizontalDpi="4294967292" verticalDpi="4294967292" r:id="rId1"/>
  <headerFooter alignWithMargins="0">
    <oddHeader>&amp;F</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20"/>
  <sheetViews>
    <sheetView zoomScale="160" zoomScaleNormal="160" workbookViewId="0">
      <selection activeCell="B35" sqref="B35"/>
    </sheetView>
  </sheetViews>
  <sheetFormatPr defaultRowHeight="15" x14ac:dyDescent="0.25"/>
  <cols>
    <col min="1" max="1" width="15.140625" style="181" bestFit="1" customWidth="1"/>
    <col min="2" max="2" width="12.42578125" style="181" bestFit="1" customWidth="1"/>
    <col min="3" max="9" width="12.140625" style="181" customWidth="1"/>
    <col min="10" max="10" width="9.140625" style="181"/>
    <col min="11" max="11" width="13.5703125" style="181" bestFit="1" customWidth="1"/>
    <col min="12" max="12" width="8.28515625" style="181" bestFit="1" customWidth="1"/>
    <col min="13" max="13" width="11.7109375" style="181" bestFit="1" customWidth="1"/>
    <col min="14" max="14" width="12.7109375" style="181" customWidth="1"/>
    <col min="15" max="16384" width="9.140625" style="181"/>
  </cols>
  <sheetData>
    <row r="1" spans="1:14" x14ac:dyDescent="0.25">
      <c r="A1" s="187" t="s">
        <v>1076</v>
      </c>
      <c r="B1" s="186" t="s">
        <v>1483</v>
      </c>
      <c r="C1" s="186" t="s">
        <v>1482</v>
      </c>
      <c r="D1" s="186" t="s">
        <v>1011</v>
      </c>
      <c r="E1" s="186" t="s">
        <v>1481</v>
      </c>
      <c r="F1" s="186" t="s">
        <v>1480</v>
      </c>
      <c r="G1" s="186" t="s">
        <v>1479</v>
      </c>
      <c r="H1" s="186"/>
      <c r="I1" s="186"/>
      <c r="K1" s="190"/>
      <c r="L1" s="191" t="s">
        <v>1465</v>
      </c>
      <c r="M1" s="190"/>
      <c r="N1" s="189"/>
    </row>
    <row r="2" spans="1:14" x14ac:dyDescent="0.25">
      <c r="A2" s="187" t="s">
        <v>230</v>
      </c>
      <c r="B2" s="188" t="s">
        <v>271</v>
      </c>
      <c r="C2" s="188" t="s">
        <v>266</v>
      </c>
      <c r="D2" s="188" t="s">
        <v>271</v>
      </c>
      <c r="E2" s="188" t="s">
        <v>285</v>
      </c>
      <c r="F2" s="188" t="s">
        <v>285</v>
      </c>
      <c r="G2" s="188" t="s">
        <v>266</v>
      </c>
      <c r="H2" s="188"/>
      <c r="I2" s="188"/>
      <c r="K2" s="183"/>
      <c r="L2" s="122" t="s">
        <v>1449</v>
      </c>
      <c r="M2" s="183"/>
      <c r="N2" s="182"/>
    </row>
    <row r="3" spans="1:14" x14ac:dyDescent="0.25">
      <c r="A3" s="187" t="s">
        <v>231</v>
      </c>
      <c r="B3" s="186" t="s">
        <v>417</v>
      </c>
      <c r="C3" s="186" t="s">
        <v>1477</v>
      </c>
      <c r="D3" s="186" t="s">
        <v>626</v>
      </c>
      <c r="E3" s="186" t="s">
        <v>1478</v>
      </c>
      <c r="F3" s="186" t="s">
        <v>1477</v>
      </c>
      <c r="G3" s="186" t="s">
        <v>246</v>
      </c>
      <c r="H3" s="186"/>
      <c r="I3" s="186"/>
      <c r="K3" s="183"/>
      <c r="L3" s="122" t="s">
        <v>1476</v>
      </c>
      <c r="M3" s="183"/>
      <c r="N3" s="182"/>
    </row>
    <row r="4" spans="1:14" x14ac:dyDescent="0.25">
      <c r="A4" s="185" t="s">
        <v>232</v>
      </c>
      <c r="B4" s="184">
        <v>930314379</v>
      </c>
      <c r="C4" s="184">
        <v>920265140</v>
      </c>
      <c r="D4" s="184">
        <v>736688620</v>
      </c>
      <c r="E4" s="184">
        <v>219740602</v>
      </c>
      <c r="F4" s="184">
        <v>249416723</v>
      </c>
      <c r="G4" s="184">
        <v>991656720</v>
      </c>
      <c r="H4" s="184"/>
      <c r="I4" s="184"/>
      <c r="K4" s="183"/>
      <c r="L4" s="122" t="s">
        <v>1475</v>
      </c>
      <c r="M4" s="183"/>
      <c r="N4" s="182"/>
    </row>
    <row r="5" spans="1:14" x14ac:dyDescent="0.25">
      <c r="K5" s="183"/>
      <c r="L5" s="122" t="s">
        <v>1443</v>
      </c>
      <c r="M5" s="183"/>
      <c r="N5" s="182"/>
    </row>
    <row r="6" spans="1:14" x14ac:dyDescent="0.25">
      <c r="K6" s="183"/>
      <c r="L6" s="122" t="s">
        <v>1474</v>
      </c>
      <c r="M6" s="183"/>
      <c r="N6" s="182"/>
    </row>
    <row r="7" spans="1:14" x14ac:dyDescent="0.25">
      <c r="K7" s="183"/>
      <c r="L7" s="122" t="s">
        <v>1473</v>
      </c>
      <c r="M7" s="183"/>
      <c r="N7" s="182"/>
    </row>
    <row r="8" spans="1:14" x14ac:dyDescent="0.25">
      <c r="L8" s="122" t="s">
        <v>1448</v>
      </c>
    </row>
    <row r="9" spans="1:14" x14ac:dyDescent="0.25">
      <c r="L9" s="122" t="s">
        <v>1438</v>
      </c>
    </row>
    <row r="10" spans="1:14" x14ac:dyDescent="0.25">
      <c r="L10" s="122" t="s">
        <v>1472</v>
      </c>
    </row>
    <row r="11" spans="1:14" x14ac:dyDescent="0.25">
      <c r="L11" s="122" t="s">
        <v>1471</v>
      </c>
    </row>
    <row r="19" spans="2:13" x14ac:dyDescent="0.25">
      <c r="B19" s="122"/>
      <c r="C19" s="122"/>
      <c r="D19" s="122"/>
      <c r="E19" s="122"/>
      <c r="F19" s="122"/>
      <c r="G19" s="122"/>
      <c r="H19" s="122"/>
      <c r="I19" s="122"/>
      <c r="J19" s="122"/>
      <c r="K19" s="122"/>
      <c r="L19" s="122"/>
      <c r="M19" s="122"/>
    </row>
    <row r="20" spans="2:13" x14ac:dyDescent="0.25">
      <c r="B20" s="122"/>
      <c r="C20" s="122"/>
      <c r="D20" s="122"/>
      <c r="E20" s="122"/>
      <c r="F20" s="122"/>
      <c r="G20" s="122"/>
      <c r="H20" s="122"/>
      <c r="I20" s="122"/>
      <c r="J20" s="122"/>
      <c r="K20" s="122"/>
      <c r="L20" s="122"/>
      <c r="M20" s="12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J765"/>
  <sheetViews>
    <sheetView topLeftCell="A19" zoomScale="115" zoomScaleNormal="115" workbookViewId="0">
      <selection activeCell="B35" sqref="B35"/>
    </sheetView>
  </sheetViews>
  <sheetFormatPr defaultRowHeight="15" x14ac:dyDescent="0.25"/>
  <cols>
    <col min="1" max="1" width="19.5703125" style="216" bestFit="1" customWidth="1"/>
    <col min="2" max="2" width="8.28515625" style="122" bestFit="1" customWidth="1"/>
    <col min="3" max="3" width="27.28515625" style="122" bestFit="1" customWidth="1"/>
    <col min="4" max="4" width="9.7109375" style="122" bestFit="1" customWidth="1"/>
    <col min="5" max="5" width="9.28515625" style="215" bestFit="1" customWidth="1"/>
    <col min="6" max="6" width="10.85546875" style="122" bestFit="1" customWidth="1"/>
    <col min="7" max="7" width="5.85546875" style="122" bestFit="1" customWidth="1"/>
    <col min="8" max="8" width="8.42578125" style="122" bestFit="1" customWidth="1"/>
    <col min="9" max="9" width="8.42578125" style="214" bestFit="1" customWidth="1"/>
    <col min="10" max="10" width="10" style="213" bestFit="1" customWidth="1"/>
    <col min="11" max="16384" width="9.140625" style="122"/>
  </cols>
  <sheetData>
    <row r="1" spans="1:10" x14ac:dyDescent="0.25">
      <c r="A1" s="227" t="s">
        <v>229</v>
      </c>
      <c r="B1" s="225" t="s">
        <v>230</v>
      </c>
      <c r="C1" s="225" t="s">
        <v>231</v>
      </c>
      <c r="D1" s="225" t="s">
        <v>234</v>
      </c>
      <c r="E1" s="226" t="s">
        <v>235</v>
      </c>
      <c r="F1" s="225" t="s">
        <v>236</v>
      </c>
      <c r="G1" s="225" t="s">
        <v>237</v>
      </c>
      <c r="H1" s="225" t="s">
        <v>238</v>
      </c>
      <c r="I1" s="224" t="s">
        <v>239</v>
      </c>
      <c r="J1" s="223" t="s">
        <v>240</v>
      </c>
    </row>
    <row r="2" spans="1:10" x14ac:dyDescent="0.25">
      <c r="A2" s="222" t="s">
        <v>246</v>
      </c>
      <c r="B2" s="220"/>
      <c r="C2" s="220"/>
      <c r="D2" s="220"/>
      <c r="E2" s="221"/>
      <c r="F2" s="220"/>
      <c r="G2" s="220"/>
      <c r="H2" s="220"/>
      <c r="I2" s="219"/>
      <c r="J2" s="218"/>
    </row>
    <row r="3" spans="1:10" x14ac:dyDescent="0.25">
      <c r="A3" s="216" t="s">
        <v>863</v>
      </c>
      <c r="B3" s="122" t="s">
        <v>251</v>
      </c>
      <c r="C3" s="122" t="s">
        <v>246</v>
      </c>
      <c r="D3" s="122" t="s">
        <v>252</v>
      </c>
      <c r="E3" s="215">
        <v>33846</v>
      </c>
      <c r="F3" s="122" t="str">
        <f>CHOOSE(MONTH(E3),"January","February","March","April","May","June","July","August","September","October","November","December")</f>
        <v>August</v>
      </c>
      <c r="G3" s="122">
        <f ca="1">DATEDIF(E3,TODAY(),"Y")</f>
        <v>24</v>
      </c>
      <c r="I3" s="214">
        <v>35680</v>
      </c>
      <c r="J3" s="213">
        <v>2</v>
      </c>
    </row>
    <row r="4" spans="1:10" x14ac:dyDescent="0.25">
      <c r="A4" s="216" t="s">
        <v>357</v>
      </c>
      <c r="B4" s="122" t="s">
        <v>245</v>
      </c>
      <c r="C4" s="122" t="s">
        <v>246</v>
      </c>
      <c r="D4" s="122" t="s">
        <v>261</v>
      </c>
      <c r="E4" s="215">
        <v>33290</v>
      </c>
      <c r="F4" s="122" t="str">
        <f>CHOOSE(MONTH(E4),"January","February","March","April","May","June","July","August","September","October","November","December")</f>
        <v>February</v>
      </c>
      <c r="G4" s="122">
        <f ca="1">DATEDIF(E4,TODAY(),"Y")</f>
        <v>25</v>
      </c>
      <c r="H4" s="122" t="s">
        <v>262</v>
      </c>
      <c r="I4" s="214">
        <v>26795</v>
      </c>
      <c r="J4" s="213">
        <v>4</v>
      </c>
    </row>
    <row r="5" spans="1:10" x14ac:dyDescent="0.25">
      <c r="A5" s="216" t="s">
        <v>740</v>
      </c>
      <c r="B5" s="122" t="s">
        <v>266</v>
      </c>
      <c r="C5" s="122" t="s">
        <v>246</v>
      </c>
      <c r="D5" s="122" t="s">
        <v>256</v>
      </c>
      <c r="E5" s="215">
        <v>39447</v>
      </c>
      <c r="F5" s="122" t="str">
        <f>CHOOSE(MONTH(E5),"January","February","March","April","May","June","July","August","September","October","November","December")</f>
        <v>December</v>
      </c>
      <c r="G5" s="122">
        <f ca="1">DATEDIF(E5,TODAY(),"Y")</f>
        <v>8</v>
      </c>
      <c r="H5" s="122" t="s">
        <v>267</v>
      </c>
      <c r="I5" s="214">
        <v>72830</v>
      </c>
      <c r="J5" s="213">
        <v>2</v>
      </c>
    </row>
    <row r="6" spans="1:10" x14ac:dyDescent="0.25">
      <c r="A6" s="216" t="s">
        <v>790</v>
      </c>
      <c r="B6" s="122" t="s">
        <v>245</v>
      </c>
      <c r="C6" s="122" t="s">
        <v>246</v>
      </c>
      <c r="D6" s="122" t="s">
        <v>247</v>
      </c>
      <c r="E6" s="215">
        <v>39147</v>
      </c>
      <c r="F6" s="122" t="str">
        <f>CHOOSE(MONTH(E6),"January","February","March","April","May","June","July","August","September","October","November","December")</f>
        <v>March</v>
      </c>
      <c r="G6" s="122">
        <f ca="1">DATEDIF(E6,TODAY(),"Y")</f>
        <v>9</v>
      </c>
      <c r="I6" s="214">
        <v>42540</v>
      </c>
      <c r="J6" s="213">
        <v>5</v>
      </c>
    </row>
    <row r="7" spans="1:10" x14ac:dyDescent="0.25">
      <c r="A7" s="216" t="s">
        <v>951</v>
      </c>
      <c r="B7" s="122" t="s">
        <v>245</v>
      </c>
      <c r="C7" s="122" t="s">
        <v>246</v>
      </c>
      <c r="D7" s="122" t="s">
        <v>256</v>
      </c>
      <c r="E7" s="215">
        <v>36171</v>
      </c>
      <c r="F7" s="122" t="str">
        <f>CHOOSE(MONTH(E7),"January","February","March","April","May","June","July","August","September","October","November","December")</f>
        <v>January</v>
      </c>
      <c r="G7" s="122">
        <f ca="1">DATEDIF(E7,TODAY(),"Y")</f>
        <v>17</v>
      </c>
      <c r="H7" s="122" t="s">
        <v>257</v>
      </c>
      <c r="I7" s="214">
        <v>24550</v>
      </c>
      <c r="J7" s="213">
        <v>1</v>
      </c>
    </row>
    <row r="8" spans="1:10" x14ac:dyDescent="0.25">
      <c r="A8" s="217" t="s">
        <v>272</v>
      </c>
    </row>
    <row r="9" spans="1:10" x14ac:dyDescent="0.25">
      <c r="A9" s="216" t="s">
        <v>946</v>
      </c>
      <c r="B9" s="122" t="s">
        <v>280</v>
      </c>
      <c r="C9" s="122" t="s">
        <v>272</v>
      </c>
      <c r="D9" s="122" t="s">
        <v>256</v>
      </c>
      <c r="E9" s="215">
        <v>35742</v>
      </c>
      <c r="F9" s="122" t="str">
        <f t="shared" ref="F9:F25" si="0">CHOOSE(MONTH(E9),"January","February","March","April","May","June","July","August","September","October","November","December")</f>
        <v>November</v>
      </c>
      <c r="G9" s="122">
        <f t="shared" ref="G9:G25" ca="1" si="1">DATEDIF(E9,TODAY(),"Y")</f>
        <v>19</v>
      </c>
      <c r="H9" s="122" t="s">
        <v>283</v>
      </c>
      <c r="I9" s="214">
        <v>85300</v>
      </c>
      <c r="J9" s="213">
        <v>2</v>
      </c>
    </row>
    <row r="10" spans="1:10" x14ac:dyDescent="0.25">
      <c r="A10" s="216" t="s">
        <v>552</v>
      </c>
      <c r="B10" s="122" t="s">
        <v>271</v>
      </c>
      <c r="C10" s="122" t="s">
        <v>272</v>
      </c>
      <c r="D10" s="122" t="s">
        <v>261</v>
      </c>
      <c r="E10" s="215">
        <v>33474</v>
      </c>
      <c r="F10" s="122" t="str">
        <f t="shared" si="0"/>
        <v>August</v>
      </c>
      <c r="G10" s="122">
        <f t="shared" ca="1" si="1"/>
        <v>25</v>
      </c>
      <c r="H10" s="122" t="s">
        <v>262</v>
      </c>
      <c r="I10" s="214">
        <v>30445</v>
      </c>
      <c r="J10" s="213">
        <v>1</v>
      </c>
    </row>
    <row r="11" spans="1:10" x14ac:dyDescent="0.25">
      <c r="A11" s="216" t="s">
        <v>717</v>
      </c>
      <c r="B11" s="122" t="s">
        <v>285</v>
      </c>
      <c r="C11" s="122" t="s">
        <v>272</v>
      </c>
      <c r="D11" s="122" t="s">
        <v>256</v>
      </c>
      <c r="E11" s="215">
        <v>33831</v>
      </c>
      <c r="F11" s="122" t="str">
        <f t="shared" si="0"/>
        <v>August</v>
      </c>
      <c r="G11" s="122">
        <f t="shared" ca="1" si="1"/>
        <v>24</v>
      </c>
      <c r="H11" s="122" t="s">
        <v>257</v>
      </c>
      <c r="I11" s="214">
        <v>79760</v>
      </c>
      <c r="J11" s="213">
        <v>5</v>
      </c>
    </row>
    <row r="12" spans="1:10" x14ac:dyDescent="0.25">
      <c r="A12" s="216" t="s">
        <v>766</v>
      </c>
      <c r="B12" s="122" t="s">
        <v>245</v>
      </c>
      <c r="C12" s="122" t="s">
        <v>272</v>
      </c>
      <c r="D12" s="122" t="s">
        <v>252</v>
      </c>
      <c r="E12" s="215">
        <v>40126</v>
      </c>
      <c r="F12" s="122" t="str">
        <f t="shared" si="0"/>
        <v>November</v>
      </c>
      <c r="G12" s="122">
        <f t="shared" ca="1" si="1"/>
        <v>7</v>
      </c>
      <c r="I12" s="214">
        <v>10636</v>
      </c>
      <c r="J12" s="213">
        <v>4</v>
      </c>
    </row>
    <row r="13" spans="1:10" x14ac:dyDescent="0.25">
      <c r="A13" s="216" t="s">
        <v>707</v>
      </c>
      <c r="B13" s="122" t="s">
        <v>245</v>
      </c>
      <c r="C13" s="122" t="s">
        <v>272</v>
      </c>
      <c r="D13" s="122" t="s">
        <v>247</v>
      </c>
      <c r="E13" s="215">
        <v>36777</v>
      </c>
      <c r="F13" s="122" t="str">
        <f t="shared" si="0"/>
        <v>September</v>
      </c>
      <c r="G13" s="122">
        <f t="shared" ca="1" si="1"/>
        <v>16</v>
      </c>
      <c r="I13" s="214">
        <v>76690</v>
      </c>
      <c r="J13" s="213">
        <v>3</v>
      </c>
    </row>
    <row r="14" spans="1:10" x14ac:dyDescent="0.25">
      <c r="A14" s="216" t="s">
        <v>418</v>
      </c>
      <c r="B14" s="122" t="s">
        <v>285</v>
      </c>
      <c r="C14" s="122" t="s">
        <v>272</v>
      </c>
      <c r="D14" s="122" t="s">
        <v>256</v>
      </c>
      <c r="E14" s="215">
        <v>36260</v>
      </c>
      <c r="F14" s="122" t="str">
        <f t="shared" si="0"/>
        <v>April</v>
      </c>
      <c r="G14" s="122">
        <f t="shared" ca="1" si="1"/>
        <v>17</v>
      </c>
      <c r="H14" s="122" t="s">
        <v>257</v>
      </c>
      <c r="I14" s="214">
        <v>75150</v>
      </c>
      <c r="J14" s="213">
        <v>1</v>
      </c>
    </row>
    <row r="15" spans="1:10" x14ac:dyDescent="0.25">
      <c r="A15" s="216" t="s">
        <v>1005</v>
      </c>
      <c r="B15" s="122" t="s">
        <v>266</v>
      </c>
      <c r="C15" s="122" t="s">
        <v>272</v>
      </c>
      <c r="D15" s="122" t="s">
        <v>256</v>
      </c>
      <c r="E15" s="215">
        <v>36764</v>
      </c>
      <c r="F15" s="122" t="str">
        <f t="shared" si="0"/>
        <v>August</v>
      </c>
      <c r="G15" s="122">
        <f t="shared" ca="1" si="1"/>
        <v>16</v>
      </c>
      <c r="H15" s="122" t="s">
        <v>276</v>
      </c>
      <c r="I15" s="214">
        <v>74840</v>
      </c>
      <c r="J15" s="213">
        <v>4</v>
      </c>
    </row>
    <row r="16" spans="1:10" x14ac:dyDescent="0.25">
      <c r="A16" s="216" t="s">
        <v>617</v>
      </c>
      <c r="B16" s="122" t="s">
        <v>266</v>
      </c>
      <c r="C16" s="122" t="s">
        <v>272</v>
      </c>
      <c r="D16" s="122" t="s">
        <v>256</v>
      </c>
      <c r="E16" s="215">
        <v>39069</v>
      </c>
      <c r="F16" s="122" t="str">
        <f t="shared" si="0"/>
        <v>December</v>
      </c>
      <c r="G16" s="122">
        <f t="shared" ca="1" si="1"/>
        <v>9</v>
      </c>
      <c r="H16" s="122" t="s">
        <v>267</v>
      </c>
      <c r="I16" s="214">
        <v>37670</v>
      </c>
      <c r="J16" s="213">
        <v>3</v>
      </c>
    </row>
    <row r="17" spans="1:10" x14ac:dyDescent="0.25">
      <c r="A17" s="216" t="s">
        <v>702</v>
      </c>
      <c r="B17" s="122" t="s">
        <v>251</v>
      </c>
      <c r="C17" s="122" t="s">
        <v>272</v>
      </c>
      <c r="D17" s="122" t="s">
        <v>256</v>
      </c>
      <c r="E17" s="215">
        <v>36143</v>
      </c>
      <c r="F17" s="122" t="str">
        <f t="shared" si="0"/>
        <v>December</v>
      </c>
      <c r="G17" s="122">
        <f t="shared" ca="1" si="1"/>
        <v>17</v>
      </c>
      <c r="H17" s="122" t="s">
        <v>283</v>
      </c>
      <c r="I17" s="214">
        <v>72090</v>
      </c>
      <c r="J17" s="213">
        <v>5</v>
      </c>
    </row>
    <row r="18" spans="1:10" x14ac:dyDescent="0.25">
      <c r="A18" s="216" t="s">
        <v>977</v>
      </c>
      <c r="B18" s="122" t="s">
        <v>271</v>
      </c>
      <c r="C18" s="122" t="s">
        <v>272</v>
      </c>
      <c r="D18" s="122" t="s">
        <v>261</v>
      </c>
      <c r="E18" s="215">
        <v>37782</v>
      </c>
      <c r="F18" s="122" t="str">
        <f t="shared" si="0"/>
        <v>June</v>
      </c>
      <c r="G18" s="122">
        <f t="shared" ca="1" si="1"/>
        <v>13</v>
      </c>
      <c r="H18" s="122" t="s">
        <v>276</v>
      </c>
      <c r="I18" s="214">
        <v>17735</v>
      </c>
      <c r="J18" s="213">
        <v>3</v>
      </c>
    </row>
    <row r="19" spans="1:10" x14ac:dyDescent="0.25">
      <c r="A19" s="216" t="s">
        <v>581</v>
      </c>
      <c r="B19" s="122" t="s">
        <v>271</v>
      </c>
      <c r="C19" s="122" t="s">
        <v>272</v>
      </c>
      <c r="D19" s="122" t="s">
        <v>247</v>
      </c>
      <c r="E19" s="215">
        <v>34076</v>
      </c>
      <c r="F19" s="122" t="str">
        <f t="shared" si="0"/>
        <v>April</v>
      </c>
      <c r="G19" s="122">
        <f t="shared" ca="1" si="1"/>
        <v>23</v>
      </c>
      <c r="I19" s="214">
        <v>66580</v>
      </c>
      <c r="J19" s="213">
        <v>5</v>
      </c>
    </row>
    <row r="20" spans="1:10" x14ac:dyDescent="0.25">
      <c r="A20" s="216" t="s">
        <v>655</v>
      </c>
      <c r="B20" s="122" t="s">
        <v>280</v>
      </c>
      <c r="C20" s="122" t="s">
        <v>272</v>
      </c>
      <c r="D20" s="122" t="s">
        <v>252</v>
      </c>
      <c r="E20" s="215">
        <v>33482</v>
      </c>
      <c r="F20" s="122" t="str">
        <f t="shared" si="0"/>
        <v>September</v>
      </c>
      <c r="G20" s="122">
        <f t="shared" ca="1" si="1"/>
        <v>25</v>
      </c>
      <c r="H20" s="122" t="s">
        <v>257</v>
      </c>
      <c r="I20" s="214">
        <v>29070</v>
      </c>
      <c r="J20" s="213">
        <v>3</v>
      </c>
    </row>
    <row r="21" spans="1:10" x14ac:dyDescent="0.25">
      <c r="A21" s="216" t="s">
        <v>632</v>
      </c>
      <c r="B21" s="122" t="s">
        <v>251</v>
      </c>
      <c r="C21" s="122" t="s">
        <v>272</v>
      </c>
      <c r="D21" s="122" t="s">
        <v>256</v>
      </c>
      <c r="E21" s="215">
        <v>37404</v>
      </c>
      <c r="F21" s="122" t="str">
        <f t="shared" si="0"/>
        <v>May</v>
      </c>
      <c r="G21" s="122">
        <f t="shared" ca="1" si="1"/>
        <v>14</v>
      </c>
      <c r="H21" s="122" t="s">
        <v>257</v>
      </c>
      <c r="I21" s="214">
        <v>30780</v>
      </c>
      <c r="J21" s="213">
        <v>4</v>
      </c>
    </row>
    <row r="22" spans="1:10" x14ac:dyDescent="0.25">
      <c r="A22" s="216" t="s">
        <v>335</v>
      </c>
      <c r="B22" s="122" t="s">
        <v>285</v>
      </c>
      <c r="C22" s="122" t="s">
        <v>272</v>
      </c>
      <c r="D22" s="122" t="s">
        <v>256</v>
      </c>
      <c r="E22" s="215">
        <v>35464</v>
      </c>
      <c r="F22" s="122" t="str">
        <f t="shared" si="0"/>
        <v>February</v>
      </c>
      <c r="G22" s="122">
        <f t="shared" ca="1" si="1"/>
        <v>19</v>
      </c>
      <c r="H22" s="122" t="s">
        <v>257</v>
      </c>
      <c r="I22" s="214">
        <v>60830</v>
      </c>
      <c r="J22" s="213">
        <v>2</v>
      </c>
    </row>
    <row r="23" spans="1:10" x14ac:dyDescent="0.25">
      <c r="A23" s="216" t="s">
        <v>768</v>
      </c>
      <c r="B23" s="122" t="s">
        <v>271</v>
      </c>
      <c r="C23" s="122" t="s">
        <v>272</v>
      </c>
      <c r="D23" s="122" t="s">
        <v>256</v>
      </c>
      <c r="E23" s="215">
        <v>38142</v>
      </c>
      <c r="F23" s="122" t="str">
        <f t="shared" si="0"/>
        <v>June</v>
      </c>
      <c r="G23" s="122">
        <f t="shared" ca="1" si="1"/>
        <v>12</v>
      </c>
      <c r="H23" s="122" t="s">
        <v>257</v>
      </c>
      <c r="I23" s="214">
        <v>49350</v>
      </c>
      <c r="J23" s="213">
        <v>4</v>
      </c>
    </row>
    <row r="24" spans="1:10" x14ac:dyDescent="0.25">
      <c r="A24" s="216" t="s">
        <v>747</v>
      </c>
      <c r="B24" s="122" t="s">
        <v>245</v>
      </c>
      <c r="C24" s="122" t="s">
        <v>272</v>
      </c>
      <c r="D24" s="122" t="s">
        <v>256</v>
      </c>
      <c r="E24" s="215">
        <v>39704</v>
      </c>
      <c r="F24" s="122" t="str">
        <f t="shared" si="0"/>
        <v>September</v>
      </c>
      <c r="G24" s="122">
        <f t="shared" ca="1" si="1"/>
        <v>8</v>
      </c>
      <c r="H24" s="122" t="s">
        <v>276</v>
      </c>
      <c r="I24" s="214">
        <v>58290</v>
      </c>
      <c r="J24" s="213">
        <v>5</v>
      </c>
    </row>
    <row r="25" spans="1:10" x14ac:dyDescent="0.25">
      <c r="A25" s="216" t="s">
        <v>421</v>
      </c>
      <c r="B25" s="122" t="s">
        <v>251</v>
      </c>
      <c r="C25" s="122" t="s">
        <v>272</v>
      </c>
      <c r="D25" s="122" t="s">
        <v>261</v>
      </c>
      <c r="E25" s="215">
        <v>36217</v>
      </c>
      <c r="F25" s="122" t="str">
        <f t="shared" si="0"/>
        <v>February</v>
      </c>
      <c r="G25" s="122">
        <f t="shared" ca="1" si="1"/>
        <v>17</v>
      </c>
      <c r="H25" s="122" t="s">
        <v>257</v>
      </c>
      <c r="I25" s="214">
        <v>15240</v>
      </c>
      <c r="J25" s="213">
        <v>1</v>
      </c>
    </row>
    <row r="26" spans="1:10" x14ac:dyDescent="0.25">
      <c r="A26" s="217" t="s">
        <v>296</v>
      </c>
    </row>
    <row r="27" spans="1:10" x14ac:dyDescent="0.25">
      <c r="A27" s="216" t="s">
        <v>547</v>
      </c>
      <c r="B27" s="122" t="s">
        <v>271</v>
      </c>
      <c r="C27" s="122" t="s">
        <v>296</v>
      </c>
      <c r="D27" s="122" t="s">
        <v>252</v>
      </c>
      <c r="E27" s="215">
        <v>35674</v>
      </c>
      <c r="F27" s="122" t="str">
        <f t="shared" ref="F27:F36" si="2">CHOOSE(MONTH(E27),"January","February","March","April","May","June","July","August","September","October","November","December")</f>
        <v>September</v>
      </c>
      <c r="G27" s="122">
        <f t="shared" ref="G27:G36" ca="1" si="3">DATEDIF(E27,TODAY(),"Y")</f>
        <v>19</v>
      </c>
      <c r="I27" s="214">
        <v>20028</v>
      </c>
      <c r="J27" s="213">
        <v>4</v>
      </c>
    </row>
    <row r="28" spans="1:10" x14ac:dyDescent="0.25">
      <c r="A28" s="216" t="s">
        <v>571</v>
      </c>
      <c r="B28" s="122" t="s">
        <v>251</v>
      </c>
      <c r="C28" s="122" t="s">
        <v>296</v>
      </c>
      <c r="D28" s="122" t="s">
        <v>256</v>
      </c>
      <c r="E28" s="215">
        <v>38051</v>
      </c>
      <c r="F28" s="122" t="str">
        <f t="shared" si="2"/>
        <v>March</v>
      </c>
      <c r="G28" s="122">
        <f t="shared" ca="1" si="3"/>
        <v>12</v>
      </c>
      <c r="H28" s="122" t="s">
        <v>257</v>
      </c>
      <c r="I28" s="214">
        <v>30350</v>
      </c>
      <c r="J28" s="213">
        <v>1</v>
      </c>
    </row>
    <row r="29" spans="1:10" x14ac:dyDescent="0.25">
      <c r="A29" s="216" t="s">
        <v>385</v>
      </c>
      <c r="B29" s="122" t="s">
        <v>245</v>
      </c>
      <c r="C29" s="122" t="s">
        <v>296</v>
      </c>
      <c r="D29" s="122" t="s">
        <v>256</v>
      </c>
      <c r="E29" s="215">
        <v>36893</v>
      </c>
      <c r="F29" s="122" t="str">
        <f t="shared" si="2"/>
        <v>January</v>
      </c>
      <c r="G29" s="122">
        <f t="shared" ca="1" si="3"/>
        <v>15</v>
      </c>
      <c r="H29" s="122" t="s">
        <v>283</v>
      </c>
      <c r="I29" s="214">
        <v>33640</v>
      </c>
      <c r="J29" s="213">
        <v>3</v>
      </c>
    </row>
    <row r="30" spans="1:10" x14ac:dyDescent="0.25">
      <c r="A30" s="216" t="s">
        <v>959</v>
      </c>
      <c r="B30" s="122" t="s">
        <v>285</v>
      </c>
      <c r="C30" s="122" t="s">
        <v>296</v>
      </c>
      <c r="D30" s="122" t="s">
        <v>256</v>
      </c>
      <c r="E30" s="215">
        <v>34301</v>
      </c>
      <c r="F30" s="122" t="str">
        <f t="shared" si="2"/>
        <v>November</v>
      </c>
      <c r="G30" s="122">
        <f t="shared" ca="1" si="3"/>
        <v>22</v>
      </c>
      <c r="H30" s="122" t="s">
        <v>257</v>
      </c>
      <c r="I30" s="214">
        <v>73440</v>
      </c>
      <c r="J30" s="213">
        <v>1</v>
      </c>
    </row>
    <row r="31" spans="1:10" x14ac:dyDescent="0.25">
      <c r="A31" s="216" t="s">
        <v>343</v>
      </c>
      <c r="B31" s="122" t="s">
        <v>271</v>
      </c>
      <c r="C31" s="122" t="s">
        <v>296</v>
      </c>
      <c r="D31" s="122" t="s">
        <v>256</v>
      </c>
      <c r="E31" s="215">
        <v>35459</v>
      </c>
      <c r="F31" s="122" t="str">
        <f t="shared" si="2"/>
        <v>January</v>
      </c>
      <c r="G31" s="122">
        <f t="shared" ca="1" si="3"/>
        <v>19</v>
      </c>
      <c r="H31" s="122" t="s">
        <v>283</v>
      </c>
      <c r="I31" s="214">
        <v>49360</v>
      </c>
      <c r="J31" s="213">
        <v>2</v>
      </c>
    </row>
    <row r="32" spans="1:10" x14ac:dyDescent="0.25">
      <c r="A32" s="216" t="s">
        <v>843</v>
      </c>
      <c r="B32" s="122" t="s">
        <v>245</v>
      </c>
      <c r="C32" s="122" t="s">
        <v>296</v>
      </c>
      <c r="D32" s="122" t="s">
        <v>261</v>
      </c>
      <c r="E32" s="215">
        <v>35564</v>
      </c>
      <c r="F32" s="122" t="str">
        <f t="shared" si="2"/>
        <v>May</v>
      </c>
      <c r="G32" s="122">
        <f t="shared" ca="1" si="3"/>
        <v>19</v>
      </c>
      <c r="H32" s="122" t="s">
        <v>257</v>
      </c>
      <c r="I32" s="214">
        <v>11025</v>
      </c>
      <c r="J32" s="213">
        <v>1</v>
      </c>
    </row>
    <row r="33" spans="1:10" x14ac:dyDescent="0.25">
      <c r="A33" s="216" t="s">
        <v>389</v>
      </c>
      <c r="B33" s="122" t="s">
        <v>245</v>
      </c>
      <c r="C33" s="122" t="s">
        <v>296</v>
      </c>
      <c r="D33" s="122" t="s">
        <v>256</v>
      </c>
      <c r="E33" s="215">
        <v>36619</v>
      </c>
      <c r="F33" s="122" t="str">
        <f t="shared" si="2"/>
        <v>April</v>
      </c>
      <c r="G33" s="122">
        <f t="shared" ca="1" si="3"/>
        <v>16</v>
      </c>
      <c r="H33" s="122" t="s">
        <v>267</v>
      </c>
      <c r="I33" s="214">
        <v>56440</v>
      </c>
      <c r="J33" s="213">
        <v>1</v>
      </c>
    </row>
    <row r="34" spans="1:10" x14ac:dyDescent="0.25">
      <c r="A34" s="216" t="s">
        <v>858</v>
      </c>
      <c r="B34" s="122" t="s">
        <v>245</v>
      </c>
      <c r="C34" s="122" t="s">
        <v>296</v>
      </c>
      <c r="D34" s="122" t="s">
        <v>256</v>
      </c>
      <c r="E34" s="215">
        <v>33551</v>
      </c>
      <c r="F34" s="122" t="str">
        <f t="shared" si="2"/>
        <v>November</v>
      </c>
      <c r="G34" s="122">
        <f t="shared" ca="1" si="3"/>
        <v>25</v>
      </c>
      <c r="H34" s="122" t="s">
        <v>262</v>
      </c>
      <c r="I34" s="214">
        <v>41350</v>
      </c>
      <c r="J34" s="213">
        <v>2</v>
      </c>
    </row>
    <row r="35" spans="1:10" x14ac:dyDescent="0.25">
      <c r="A35" s="216" t="s">
        <v>620</v>
      </c>
      <c r="B35" s="122" t="s">
        <v>285</v>
      </c>
      <c r="C35" s="122" t="s">
        <v>296</v>
      </c>
      <c r="D35" s="122" t="s">
        <v>256</v>
      </c>
      <c r="E35" s="215">
        <v>36214</v>
      </c>
      <c r="F35" s="122" t="str">
        <f t="shared" si="2"/>
        <v>February</v>
      </c>
      <c r="G35" s="122">
        <f t="shared" ca="1" si="3"/>
        <v>17</v>
      </c>
      <c r="H35" s="122" t="s">
        <v>276</v>
      </c>
      <c r="I35" s="214">
        <v>47850</v>
      </c>
      <c r="J35" s="213">
        <v>1</v>
      </c>
    </row>
    <row r="36" spans="1:10" x14ac:dyDescent="0.25">
      <c r="A36" s="216" t="s">
        <v>972</v>
      </c>
      <c r="B36" s="122" t="s">
        <v>245</v>
      </c>
      <c r="C36" s="122" t="s">
        <v>296</v>
      </c>
      <c r="D36" s="122" t="s">
        <v>256</v>
      </c>
      <c r="E36" s="215">
        <v>40106</v>
      </c>
      <c r="F36" s="122" t="str">
        <f t="shared" si="2"/>
        <v>October</v>
      </c>
      <c r="G36" s="122">
        <f t="shared" ca="1" si="3"/>
        <v>7</v>
      </c>
      <c r="H36" s="122" t="s">
        <v>262</v>
      </c>
      <c r="I36" s="214">
        <v>51180</v>
      </c>
      <c r="J36" s="213">
        <v>3</v>
      </c>
    </row>
    <row r="37" spans="1:10" x14ac:dyDescent="0.25">
      <c r="A37" s="217" t="s">
        <v>307</v>
      </c>
    </row>
    <row r="38" spans="1:10" x14ac:dyDescent="0.25">
      <c r="A38" s="216" t="s">
        <v>601</v>
      </c>
      <c r="B38" s="122" t="s">
        <v>285</v>
      </c>
      <c r="C38" s="122" t="s">
        <v>307</v>
      </c>
      <c r="D38" s="122" t="s">
        <v>261</v>
      </c>
      <c r="E38" s="215">
        <v>39417</v>
      </c>
      <c r="F38" s="122" t="str">
        <f>CHOOSE(MONTH(E38),"January","February","March","April","May","June","July","August","September","October","November","December")</f>
        <v>December</v>
      </c>
      <c r="G38" s="122">
        <f ca="1">DATEDIF(E38,TODAY(),"Y")</f>
        <v>8</v>
      </c>
      <c r="H38" s="122" t="s">
        <v>267</v>
      </c>
      <c r="I38" s="214">
        <v>46095</v>
      </c>
      <c r="J38" s="213">
        <v>3</v>
      </c>
    </row>
    <row r="39" spans="1:10" x14ac:dyDescent="0.25">
      <c r="A39" s="216" t="s">
        <v>1006</v>
      </c>
      <c r="B39" s="122" t="s">
        <v>271</v>
      </c>
      <c r="C39" s="122" t="s">
        <v>307</v>
      </c>
      <c r="D39" s="122" t="s">
        <v>261</v>
      </c>
      <c r="E39" s="215">
        <v>40152</v>
      </c>
      <c r="F39" s="122" t="str">
        <f>CHOOSE(MONTH(E39),"January","February","March","April","May","June","July","August","September","October","November","December")</f>
        <v>December</v>
      </c>
      <c r="G39" s="122">
        <f ca="1">DATEDIF(E39,TODAY(),"Y")</f>
        <v>6</v>
      </c>
      <c r="H39" s="122" t="s">
        <v>283</v>
      </c>
      <c r="I39" s="214">
        <v>28680</v>
      </c>
      <c r="J39" s="213">
        <v>1</v>
      </c>
    </row>
    <row r="40" spans="1:10" x14ac:dyDescent="0.25">
      <c r="A40" s="216" t="s">
        <v>850</v>
      </c>
      <c r="B40" s="122" t="s">
        <v>280</v>
      </c>
      <c r="C40" s="122" t="s">
        <v>307</v>
      </c>
      <c r="D40" s="122" t="s">
        <v>247</v>
      </c>
      <c r="E40" s="215">
        <v>35395</v>
      </c>
      <c r="F40" s="122" t="str">
        <f>CHOOSE(MONTH(E40),"January","February","March","April","May","June","July","August","September","October","November","December")</f>
        <v>November</v>
      </c>
      <c r="G40" s="122">
        <f ca="1">DATEDIF(E40,TODAY(),"Y")</f>
        <v>19</v>
      </c>
      <c r="I40" s="214">
        <v>58130</v>
      </c>
      <c r="J40" s="213">
        <v>2</v>
      </c>
    </row>
    <row r="41" spans="1:10" x14ac:dyDescent="0.25">
      <c r="A41" s="216" t="s">
        <v>925</v>
      </c>
      <c r="B41" s="122" t="s">
        <v>285</v>
      </c>
      <c r="C41" s="122" t="s">
        <v>307</v>
      </c>
      <c r="D41" s="122" t="s">
        <v>256</v>
      </c>
      <c r="E41" s="215">
        <v>33713</v>
      </c>
      <c r="F41" s="122" t="str">
        <f>CHOOSE(MONTH(E41),"January","February","March","April","May","June","July","August","September","October","November","December")</f>
        <v>April</v>
      </c>
      <c r="G41" s="122">
        <f ca="1">DATEDIF(E41,TODAY(),"Y")</f>
        <v>24</v>
      </c>
      <c r="H41" s="122" t="s">
        <v>257</v>
      </c>
      <c r="I41" s="214">
        <v>46220</v>
      </c>
      <c r="J41" s="213">
        <v>3</v>
      </c>
    </row>
    <row r="42" spans="1:10" x14ac:dyDescent="0.25">
      <c r="A42" s="217" t="s">
        <v>312</v>
      </c>
    </row>
    <row r="43" spans="1:10" x14ac:dyDescent="0.25">
      <c r="A43" s="216" t="s">
        <v>797</v>
      </c>
      <c r="B43" s="122" t="s">
        <v>285</v>
      </c>
      <c r="C43" s="122" t="s">
        <v>312</v>
      </c>
      <c r="D43" s="122" t="s">
        <v>247</v>
      </c>
      <c r="E43" s="215">
        <v>38907</v>
      </c>
      <c r="F43" s="122" t="str">
        <f t="shared" ref="F43:F74" si="4">CHOOSE(MONTH(E43),"January","February","March","April","May","June","July","August","September","October","November","December")</f>
        <v>July</v>
      </c>
      <c r="G43" s="122">
        <f t="shared" ref="G43:G74" ca="1" si="5">DATEDIF(E43,TODAY(),"Y")</f>
        <v>10</v>
      </c>
      <c r="I43" s="214">
        <v>89310</v>
      </c>
      <c r="J43" s="213">
        <v>5</v>
      </c>
    </row>
    <row r="44" spans="1:10" x14ac:dyDescent="0.25">
      <c r="A44" s="216" t="s">
        <v>939</v>
      </c>
      <c r="B44" s="122" t="s">
        <v>266</v>
      </c>
      <c r="C44" s="122" t="s">
        <v>312</v>
      </c>
      <c r="D44" s="122" t="s">
        <v>247</v>
      </c>
      <c r="E44" s="215">
        <v>35940</v>
      </c>
      <c r="F44" s="122" t="str">
        <f t="shared" si="4"/>
        <v>May</v>
      </c>
      <c r="G44" s="122">
        <f t="shared" ca="1" si="5"/>
        <v>18</v>
      </c>
      <c r="I44" s="214">
        <v>88000</v>
      </c>
      <c r="J44" s="213">
        <v>5</v>
      </c>
    </row>
    <row r="45" spans="1:10" x14ac:dyDescent="0.25">
      <c r="A45" s="216" t="s">
        <v>999</v>
      </c>
      <c r="B45" s="122" t="s">
        <v>245</v>
      </c>
      <c r="C45" s="122" t="s">
        <v>312</v>
      </c>
      <c r="D45" s="122" t="s">
        <v>261</v>
      </c>
      <c r="E45" s="215">
        <v>35517</v>
      </c>
      <c r="F45" s="122" t="str">
        <f t="shared" si="4"/>
        <v>March</v>
      </c>
      <c r="G45" s="122">
        <f t="shared" ca="1" si="5"/>
        <v>19</v>
      </c>
      <c r="H45" s="122" t="s">
        <v>267</v>
      </c>
      <c r="I45" s="214">
        <v>48415</v>
      </c>
      <c r="J45" s="213">
        <v>4</v>
      </c>
    </row>
    <row r="46" spans="1:10" x14ac:dyDescent="0.25">
      <c r="A46" s="216" t="s">
        <v>844</v>
      </c>
      <c r="B46" s="122" t="s">
        <v>285</v>
      </c>
      <c r="C46" s="122" t="s">
        <v>312</v>
      </c>
      <c r="D46" s="122" t="s">
        <v>256</v>
      </c>
      <c r="E46" s="215">
        <v>37785</v>
      </c>
      <c r="F46" s="122" t="str">
        <f t="shared" si="4"/>
        <v>June</v>
      </c>
      <c r="G46" s="122">
        <f t="shared" ca="1" si="5"/>
        <v>13</v>
      </c>
      <c r="H46" s="122" t="s">
        <v>283</v>
      </c>
      <c r="I46" s="214">
        <v>87280</v>
      </c>
      <c r="J46" s="213">
        <v>4</v>
      </c>
    </row>
    <row r="47" spans="1:10" x14ac:dyDescent="0.25">
      <c r="A47" s="216" t="s">
        <v>522</v>
      </c>
      <c r="B47" s="122" t="s">
        <v>285</v>
      </c>
      <c r="C47" s="122" t="s">
        <v>312</v>
      </c>
      <c r="D47" s="122" t="s">
        <v>261</v>
      </c>
      <c r="E47" s="215">
        <v>34548</v>
      </c>
      <c r="F47" s="122" t="str">
        <f t="shared" si="4"/>
        <v>August</v>
      </c>
      <c r="G47" s="122">
        <f t="shared" ca="1" si="5"/>
        <v>22</v>
      </c>
      <c r="H47" s="122" t="s">
        <v>276</v>
      </c>
      <c r="I47" s="214">
        <v>38920</v>
      </c>
      <c r="J47" s="213">
        <v>4</v>
      </c>
    </row>
    <row r="48" spans="1:10" x14ac:dyDescent="0.25">
      <c r="A48" s="216" t="s">
        <v>870</v>
      </c>
      <c r="B48" s="122" t="s">
        <v>271</v>
      </c>
      <c r="C48" s="122" t="s">
        <v>312</v>
      </c>
      <c r="D48" s="122" t="s">
        <v>256</v>
      </c>
      <c r="E48" s="215">
        <v>33527</v>
      </c>
      <c r="F48" s="122" t="str">
        <f t="shared" si="4"/>
        <v>October</v>
      </c>
      <c r="G48" s="122">
        <f t="shared" ca="1" si="5"/>
        <v>25</v>
      </c>
      <c r="H48" s="122" t="s">
        <v>283</v>
      </c>
      <c r="I48" s="214">
        <v>85920</v>
      </c>
      <c r="J48" s="213">
        <v>4</v>
      </c>
    </row>
    <row r="49" spans="1:10" x14ac:dyDescent="0.25">
      <c r="A49" s="216" t="s">
        <v>796</v>
      </c>
      <c r="B49" s="122" t="s">
        <v>285</v>
      </c>
      <c r="C49" s="122" t="s">
        <v>312</v>
      </c>
      <c r="D49" s="122" t="s">
        <v>256</v>
      </c>
      <c r="E49" s="215">
        <v>37348</v>
      </c>
      <c r="F49" s="122" t="str">
        <f t="shared" si="4"/>
        <v>April</v>
      </c>
      <c r="G49" s="122">
        <f t="shared" ca="1" si="5"/>
        <v>14</v>
      </c>
      <c r="H49" s="122" t="s">
        <v>262</v>
      </c>
      <c r="I49" s="214">
        <v>85880</v>
      </c>
      <c r="J49" s="213">
        <v>3</v>
      </c>
    </row>
    <row r="50" spans="1:10" x14ac:dyDescent="0.25">
      <c r="A50" s="216" t="s">
        <v>993</v>
      </c>
      <c r="B50" s="122" t="s">
        <v>271</v>
      </c>
      <c r="C50" s="122" t="s">
        <v>312</v>
      </c>
      <c r="D50" s="122" t="s">
        <v>247</v>
      </c>
      <c r="E50" s="215">
        <v>35848</v>
      </c>
      <c r="F50" s="122" t="str">
        <f t="shared" si="4"/>
        <v>February</v>
      </c>
      <c r="G50" s="122">
        <f t="shared" ca="1" si="5"/>
        <v>18</v>
      </c>
      <c r="I50" s="214">
        <v>85480</v>
      </c>
      <c r="J50" s="213">
        <v>5</v>
      </c>
    </row>
    <row r="51" spans="1:10" x14ac:dyDescent="0.25">
      <c r="A51" s="216" t="s">
        <v>496</v>
      </c>
      <c r="B51" s="122" t="s">
        <v>285</v>
      </c>
      <c r="C51" s="122" t="s">
        <v>312</v>
      </c>
      <c r="D51" s="122" t="s">
        <v>247</v>
      </c>
      <c r="E51" s="215">
        <v>35569</v>
      </c>
      <c r="F51" s="122" t="str">
        <f t="shared" si="4"/>
        <v>May</v>
      </c>
      <c r="G51" s="122">
        <f t="shared" ca="1" si="5"/>
        <v>19</v>
      </c>
      <c r="I51" s="214">
        <v>84200</v>
      </c>
      <c r="J51" s="213">
        <v>2</v>
      </c>
    </row>
    <row r="52" spans="1:10" x14ac:dyDescent="0.25">
      <c r="A52" s="216" t="s">
        <v>734</v>
      </c>
      <c r="B52" s="122" t="s">
        <v>245</v>
      </c>
      <c r="C52" s="122" t="s">
        <v>312</v>
      </c>
      <c r="D52" s="122" t="s">
        <v>247</v>
      </c>
      <c r="E52" s="215">
        <v>38970</v>
      </c>
      <c r="F52" s="122" t="str">
        <f t="shared" si="4"/>
        <v>September</v>
      </c>
      <c r="G52" s="122">
        <f t="shared" ca="1" si="5"/>
        <v>10</v>
      </c>
      <c r="I52" s="214">
        <v>83070</v>
      </c>
      <c r="J52" s="213">
        <v>3</v>
      </c>
    </row>
    <row r="53" spans="1:10" x14ac:dyDescent="0.25">
      <c r="A53" s="216" t="s">
        <v>624</v>
      </c>
      <c r="B53" s="122" t="s">
        <v>245</v>
      </c>
      <c r="C53" s="122" t="s">
        <v>312</v>
      </c>
      <c r="D53" s="122" t="s">
        <v>247</v>
      </c>
      <c r="E53" s="215">
        <v>33981</v>
      </c>
      <c r="F53" s="122" t="str">
        <f t="shared" si="4"/>
        <v>January</v>
      </c>
      <c r="G53" s="122">
        <f t="shared" ca="1" si="5"/>
        <v>23</v>
      </c>
      <c r="I53" s="214">
        <v>83020</v>
      </c>
      <c r="J53" s="213">
        <v>4</v>
      </c>
    </row>
    <row r="54" spans="1:10" x14ac:dyDescent="0.25">
      <c r="A54" s="216" t="s">
        <v>471</v>
      </c>
      <c r="B54" s="122" t="s">
        <v>251</v>
      </c>
      <c r="C54" s="122" t="s">
        <v>312</v>
      </c>
      <c r="D54" s="122" t="s">
        <v>256</v>
      </c>
      <c r="E54" s="215">
        <v>35197</v>
      </c>
      <c r="F54" s="122" t="str">
        <f t="shared" si="4"/>
        <v>May</v>
      </c>
      <c r="G54" s="122">
        <f t="shared" ca="1" si="5"/>
        <v>20</v>
      </c>
      <c r="H54" s="122" t="s">
        <v>276</v>
      </c>
      <c r="I54" s="214">
        <v>82120</v>
      </c>
      <c r="J54" s="213">
        <v>5</v>
      </c>
    </row>
    <row r="55" spans="1:10" x14ac:dyDescent="0.25">
      <c r="A55" s="216" t="s">
        <v>630</v>
      </c>
      <c r="B55" s="122" t="s">
        <v>271</v>
      </c>
      <c r="C55" s="122" t="s">
        <v>312</v>
      </c>
      <c r="D55" s="122" t="s">
        <v>261</v>
      </c>
      <c r="E55" s="215">
        <v>34166</v>
      </c>
      <c r="F55" s="122" t="str">
        <f t="shared" si="4"/>
        <v>July</v>
      </c>
      <c r="G55" s="122">
        <f t="shared" ca="1" si="5"/>
        <v>23</v>
      </c>
      <c r="H55" s="122" t="s">
        <v>257</v>
      </c>
      <c r="I55" s="214">
        <v>26890</v>
      </c>
      <c r="J55" s="213">
        <v>3</v>
      </c>
    </row>
    <row r="56" spans="1:10" x14ac:dyDescent="0.25">
      <c r="A56" s="216" t="s">
        <v>577</v>
      </c>
      <c r="B56" s="122" t="s">
        <v>285</v>
      </c>
      <c r="C56" s="122" t="s">
        <v>312</v>
      </c>
      <c r="D56" s="122" t="s">
        <v>252</v>
      </c>
      <c r="E56" s="215">
        <v>33620</v>
      </c>
      <c r="F56" s="122" t="str">
        <f t="shared" si="4"/>
        <v>January</v>
      </c>
      <c r="G56" s="122">
        <f t="shared" ca="1" si="5"/>
        <v>24</v>
      </c>
      <c r="I56" s="214">
        <v>14568</v>
      </c>
      <c r="J56" s="213">
        <v>3</v>
      </c>
    </row>
    <row r="57" spans="1:10" x14ac:dyDescent="0.25">
      <c r="A57" s="216" t="s">
        <v>941</v>
      </c>
      <c r="B57" s="122" t="s">
        <v>285</v>
      </c>
      <c r="C57" s="122" t="s">
        <v>312</v>
      </c>
      <c r="D57" s="122" t="s">
        <v>247</v>
      </c>
      <c r="E57" s="215">
        <v>39959</v>
      </c>
      <c r="F57" s="122" t="str">
        <f t="shared" si="4"/>
        <v>May</v>
      </c>
      <c r="G57" s="122">
        <f t="shared" ca="1" si="5"/>
        <v>7</v>
      </c>
      <c r="I57" s="214">
        <v>79460</v>
      </c>
      <c r="J57" s="213">
        <v>5</v>
      </c>
    </row>
    <row r="58" spans="1:10" x14ac:dyDescent="0.25">
      <c r="A58" s="216" t="s">
        <v>866</v>
      </c>
      <c r="B58" s="122" t="s">
        <v>245</v>
      </c>
      <c r="C58" s="122" t="s">
        <v>312</v>
      </c>
      <c r="D58" s="122" t="s">
        <v>256</v>
      </c>
      <c r="E58" s="215">
        <v>33348</v>
      </c>
      <c r="F58" s="122" t="str">
        <f t="shared" si="4"/>
        <v>April</v>
      </c>
      <c r="G58" s="122">
        <f t="shared" ca="1" si="5"/>
        <v>25</v>
      </c>
      <c r="H58" s="122" t="s">
        <v>276</v>
      </c>
      <c r="I58" s="214">
        <v>49810</v>
      </c>
      <c r="J58" s="213">
        <v>2</v>
      </c>
    </row>
    <row r="59" spans="1:10" x14ac:dyDescent="0.25">
      <c r="A59" s="216" t="s">
        <v>800</v>
      </c>
      <c r="B59" s="122" t="s">
        <v>245</v>
      </c>
      <c r="C59" s="122" t="s">
        <v>312</v>
      </c>
      <c r="D59" s="122" t="s">
        <v>256</v>
      </c>
      <c r="E59" s="215">
        <v>35667</v>
      </c>
      <c r="F59" s="122" t="str">
        <f t="shared" si="4"/>
        <v>August</v>
      </c>
      <c r="G59" s="122">
        <f t="shared" ca="1" si="5"/>
        <v>19</v>
      </c>
      <c r="H59" s="122" t="s">
        <v>257</v>
      </c>
      <c r="I59" s="214">
        <v>40920</v>
      </c>
      <c r="J59" s="213">
        <v>4</v>
      </c>
    </row>
    <row r="60" spans="1:10" x14ac:dyDescent="0.25">
      <c r="A60" s="216" t="s">
        <v>893</v>
      </c>
      <c r="B60" s="122" t="s">
        <v>285</v>
      </c>
      <c r="C60" s="122" t="s">
        <v>312</v>
      </c>
      <c r="D60" s="122" t="s">
        <v>256</v>
      </c>
      <c r="E60" s="215">
        <v>37008</v>
      </c>
      <c r="F60" s="122" t="str">
        <f t="shared" si="4"/>
        <v>April</v>
      </c>
      <c r="G60" s="122">
        <f t="shared" ca="1" si="5"/>
        <v>15</v>
      </c>
      <c r="H60" s="122" t="s">
        <v>257</v>
      </c>
      <c r="I60" s="214">
        <v>27180</v>
      </c>
      <c r="J60" s="213">
        <v>4</v>
      </c>
    </row>
    <row r="61" spans="1:10" x14ac:dyDescent="0.25">
      <c r="A61" s="216" t="s">
        <v>910</v>
      </c>
      <c r="B61" s="122" t="s">
        <v>285</v>
      </c>
      <c r="C61" s="122" t="s">
        <v>312</v>
      </c>
      <c r="D61" s="122" t="s">
        <v>256</v>
      </c>
      <c r="E61" s="215">
        <v>36506</v>
      </c>
      <c r="F61" s="122" t="str">
        <f t="shared" si="4"/>
        <v>December</v>
      </c>
      <c r="G61" s="122">
        <f t="shared" ca="1" si="5"/>
        <v>16</v>
      </c>
      <c r="H61" s="122" t="s">
        <v>283</v>
      </c>
      <c r="I61" s="214">
        <v>32100</v>
      </c>
      <c r="J61" s="213">
        <v>1</v>
      </c>
    </row>
    <row r="62" spans="1:10" x14ac:dyDescent="0.25">
      <c r="A62" s="216" t="s">
        <v>692</v>
      </c>
      <c r="B62" s="122" t="s">
        <v>271</v>
      </c>
      <c r="C62" s="122" t="s">
        <v>312</v>
      </c>
      <c r="D62" s="122" t="s">
        <v>256</v>
      </c>
      <c r="E62" s="215">
        <v>40085</v>
      </c>
      <c r="F62" s="122" t="str">
        <f t="shared" si="4"/>
        <v>September</v>
      </c>
      <c r="G62" s="122">
        <f t="shared" ca="1" si="5"/>
        <v>7</v>
      </c>
      <c r="H62" s="122" t="s">
        <v>257</v>
      </c>
      <c r="I62" s="214">
        <v>41490</v>
      </c>
      <c r="J62" s="213">
        <v>5</v>
      </c>
    </row>
    <row r="63" spans="1:10" x14ac:dyDescent="0.25">
      <c r="A63" s="216" t="s">
        <v>301</v>
      </c>
      <c r="B63" s="122" t="s">
        <v>271</v>
      </c>
      <c r="C63" s="122" t="s">
        <v>312</v>
      </c>
      <c r="D63" s="122" t="s">
        <v>256</v>
      </c>
      <c r="E63" s="215">
        <v>40501</v>
      </c>
      <c r="F63" s="122" t="str">
        <f t="shared" si="4"/>
        <v>November</v>
      </c>
      <c r="G63" s="122">
        <f t="shared" ca="1" si="5"/>
        <v>5</v>
      </c>
      <c r="H63" s="122" t="s">
        <v>267</v>
      </c>
      <c r="I63" s="214">
        <v>77820</v>
      </c>
      <c r="J63" s="213">
        <v>3</v>
      </c>
    </row>
    <row r="64" spans="1:10" x14ac:dyDescent="0.25">
      <c r="A64" s="216" t="s">
        <v>562</v>
      </c>
      <c r="B64" s="122" t="s">
        <v>285</v>
      </c>
      <c r="C64" s="122" t="s">
        <v>312</v>
      </c>
      <c r="D64" s="122" t="s">
        <v>256</v>
      </c>
      <c r="E64" s="215">
        <v>35207</v>
      </c>
      <c r="F64" s="122" t="str">
        <f t="shared" si="4"/>
        <v>May</v>
      </c>
      <c r="G64" s="122">
        <f t="shared" ca="1" si="5"/>
        <v>20</v>
      </c>
      <c r="H64" s="122" t="s">
        <v>267</v>
      </c>
      <c r="I64" s="214">
        <v>77580</v>
      </c>
      <c r="J64" s="213">
        <v>3</v>
      </c>
    </row>
    <row r="65" spans="1:10" x14ac:dyDescent="0.25">
      <c r="A65" s="216" t="s">
        <v>703</v>
      </c>
      <c r="B65" s="122" t="s">
        <v>271</v>
      </c>
      <c r="C65" s="122" t="s">
        <v>312</v>
      </c>
      <c r="D65" s="122" t="s">
        <v>256</v>
      </c>
      <c r="E65" s="215">
        <v>35086</v>
      </c>
      <c r="F65" s="122" t="str">
        <f t="shared" si="4"/>
        <v>January</v>
      </c>
      <c r="G65" s="122">
        <f t="shared" ca="1" si="5"/>
        <v>20</v>
      </c>
      <c r="H65" s="122" t="s">
        <v>267</v>
      </c>
      <c r="I65" s="214">
        <v>77350</v>
      </c>
      <c r="J65" s="213">
        <v>5</v>
      </c>
    </row>
    <row r="66" spans="1:10" x14ac:dyDescent="0.25">
      <c r="A66" s="216" t="s">
        <v>599</v>
      </c>
      <c r="B66" s="122" t="s">
        <v>245</v>
      </c>
      <c r="C66" s="122" t="s">
        <v>312</v>
      </c>
      <c r="D66" s="122" t="s">
        <v>247</v>
      </c>
      <c r="E66" s="215">
        <v>36087</v>
      </c>
      <c r="F66" s="122" t="str">
        <f t="shared" si="4"/>
        <v>October</v>
      </c>
      <c r="G66" s="122">
        <f t="shared" ca="1" si="5"/>
        <v>18</v>
      </c>
      <c r="I66" s="214">
        <v>76930</v>
      </c>
      <c r="J66" s="213">
        <v>1</v>
      </c>
    </row>
    <row r="67" spans="1:10" x14ac:dyDescent="0.25">
      <c r="A67" s="216" t="s">
        <v>1008</v>
      </c>
      <c r="B67" s="122" t="s">
        <v>280</v>
      </c>
      <c r="C67" s="122" t="s">
        <v>312</v>
      </c>
      <c r="D67" s="122" t="s">
        <v>247</v>
      </c>
      <c r="E67" s="215">
        <v>39922</v>
      </c>
      <c r="F67" s="122" t="str">
        <f t="shared" si="4"/>
        <v>April</v>
      </c>
      <c r="G67" s="122">
        <f t="shared" ca="1" si="5"/>
        <v>7</v>
      </c>
      <c r="I67" s="214">
        <v>25790</v>
      </c>
      <c r="J67" s="213">
        <v>3</v>
      </c>
    </row>
    <row r="68" spans="1:10" x14ac:dyDescent="0.25">
      <c r="A68" s="216" t="s">
        <v>770</v>
      </c>
      <c r="B68" s="122" t="s">
        <v>271</v>
      </c>
      <c r="C68" s="122" t="s">
        <v>312</v>
      </c>
      <c r="D68" s="122" t="s">
        <v>247</v>
      </c>
      <c r="E68" s="215">
        <v>35505</v>
      </c>
      <c r="F68" s="122" t="str">
        <f t="shared" si="4"/>
        <v>March</v>
      </c>
      <c r="G68" s="122">
        <f t="shared" ca="1" si="5"/>
        <v>19</v>
      </c>
      <c r="I68" s="214">
        <v>74740</v>
      </c>
      <c r="J68" s="213">
        <v>5</v>
      </c>
    </row>
    <row r="69" spans="1:10" x14ac:dyDescent="0.25">
      <c r="A69" s="216" t="s">
        <v>861</v>
      </c>
      <c r="B69" s="122" t="s">
        <v>251</v>
      </c>
      <c r="C69" s="122" t="s">
        <v>312</v>
      </c>
      <c r="D69" s="122" t="s">
        <v>256</v>
      </c>
      <c r="E69" s="215">
        <v>40575</v>
      </c>
      <c r="F69" s="122" t="str">
        <f t="shared" si="4"/>
        <v>February</v>
      </c>
      <c r="G69" s="122">
        <f t="shared" ca="1" si="5"/>
        <v>5</v>
      </c>
      <c r="H69" s="122" t="s">
        <v>276</v>
      </c>
      <c r="I69" s="214">
        <v>74710</v>
      </c>
      <c r="J69" s="213">
        <v>2</v>
      </c>
    </row>
    <row r="70" spans="1:10" x14ac:dyDescent="0.25">
      <c r="A70" s="216" t="s">
        <v>864</v>
      </c>
      <c r="B70" s="122" t="s">
        <v>285</v>
      </c>
      <c r="C70" s="122" t="s">
        <v>312</v>
      </c>
      <c r="D70" s="122" t="s">
        <v>256</v>
      </c>
      <c r="E70" s="215">
        <v>34474</v>
      </c>
      <c r="F70" s="122" t="str">
        <f t="shared" si="4"/>
        <v>May</v>
      </c>
      <c r="G70" s="122">
        <f t="shared" ca="1" si="5"/>
        <v>22</v>
      </c>
      <c r="H70" s="122" t="s">
        <v>262</v>
      </c>
      <c r="I70" s="214">
        <v>74670</v>
      </c>
      <c r="J70" s="213">
        <v>5</v>
      </c>
    </row>
    <row r="71" spans="1:10" x14ac:dyDescent="0.25">
      <c r="A71" s="216" t="s">
        <v>651</v>
      </c>
      <c r="B71" s="122" t="s">
        <v>271</v>
      </c>
      <c r="C71" s="122" t="s">
        <v>312</v>
      </c>
      <c r="D71" s="122" t="s">
        <v>247</v>
      </c>
      <c r="E71" s="215">
        <v>33228</v>
      </c>
      <c r="F71" s="122" t="str">
        <f t="shared" si="4"/>
        <v>December</v>
      </c>
      <c r="G71" s="122">
        <f t="shared" ca="1" si="5"/>
        <v>25</v>
      </c>
      <c r="I71" s="214">
        <v>42940</v>
      </c>
      <c r="J71" s="213">
        <v>1</v>
      </c>
    </row>
    <row r="72" spans="1:10" x14ac:dyDescent="0.25">
      <c r="A72" s="216" t="s">
        <v>275</v>
      </c>
      <c r="B72" s="122" t="s">
        <v>280</v>
      </c>
      <c r="C72" s="122" t="s">
        <v>312</v>
      </c>
      <c r="D72" s="122" t="s">
        <v>247</v>
      </c>
      <c r="E72" s="215">
        <v>36038</v>
      </c>
      <c r="F72" s="122" t="str">
        <f t="shared" si="4"/>
        <v>August</v>
      </c>
      <c r="G72" s="122">
        <f t="shared" ca="1" si="5"/>
        <v>18</v>
      </c>
      <c r="I72" s="214">
        <v>30340</v>
      </c>
      <c r="J72" s="213">
        <v>3</v>
      </c>
    </row>
    <row r="73" spans="1:10" x14ac:dyDescent="0.25">
      <c r="A73" s="216" t="s">
        <v>877</v>
      </c>
      <c r="B73" s="122" t="s">
        <v>271</v>
      </c>
      <c r="C73" s="122" t="s">
        <v>312</v>
      </c>
      <c r="D73" s="122" t="s">
        <v>256</v>
      </c>
      <c r="E73" s="215">
        <v>37241</v>
      </c>
      <c r="F73" s="122" t="str">
        <f t="shared" si="4"/>
        <v>December</v>
      </c>
      <c r="G73" s="122">
        <f t="shared" ca="1" si="5"/>
        <v>14</v>
      </c>
      <c r="H73" s="122" t="s">
        <v>257</v>
      </c>
      <c r="I73" s="214">
        <v>71950</v>
      </c>
      <c r="J73" s="213">
        <v>5</v>
      </c>
    </row>
    <row r="74" spans="1:10" x14ac:dyDescent="0.25">
      <c r="A74" s="216" t="s">
        <v>968</v>
      </c>
      <c r="B74" s="122" t="s">
        <v>266</v>
      </c>
      <c r="C74" s="122" t="s">
        <v>312</v>
      </c>
      <c r="D74" s="122" t="s">
        <v>261</v>
      </c>
      <c r="E74" s="215">
        <v>36896</v>
      </c>
      <c r="F74" s="122" t="str">
        <f t="shared" si="4"/>
        <v>January</v>
      </c>
      <c r="G74" s="122">
        <f t="shared" ca="1" si="5"/>
        <v>15</v>
      </c>
      <c r="H74" s="122" t="s">
        <v>257</v>
      </c>
      <c r="I74" s="214">
        <v>35280</v>
      </c>
      <c r="J74" s="213">
        <v>3</v>
      </c>
    </row>
    <row r="75" spans="1:10" x14ac:dyDescent="0.25">
      <c r="A75" s="216" t="s">
        <v>647</v>
      </c>
      <c r="B75" s="122" t="s">
        <v>285</v>
      </c>
      <c r="C75" s="122" t="s">
        <v>312</v>
      </c>
      <c r="D75" s="122" t="s">
        <v>256</v>
      </c>
      <c r="E75" s="215">
        <v>33895</v>
      </c>
      <c r="F75" s="122" t="str">
        <f t="shared" ref="F75:F101" si="6">CHOOSE(MONTH(E75),"January","February","March","April","May","June","July","August","September","October","November","December")</f>
        <v>October</v>
      </c>
      <c r="G75" s="122">
        <f t="shared" ref="G75:G101" ca="1" si="7">DATEDIF(E75,TODAY(),"Y")</f>
        <v>24</v>
      </c>
      <c r="H75" s="122" t="s">
        <v>283</v>
      </c>
      <c r="I75" s="214">
        <v>71670</v>
      </c>
      <c r="J75" s="213">
        <v>4</v>
      </c>
    </row>
    <row r="76" spans="1:10" x14ac:dyDescent="0.25">
      <c r="A76" s="216" t="s">
        <v>961</v>
      </c>
      <c r="B76" s="122" t="s">
        <v>245</v>
      </c>
      <c r="C76" s="122" t="s">
        <v>312</v>
      </c>
      <c r="D76" s="122" t="s">
        <v>256</v>
      </c>
      <c r="E76" s="215">
        <v>33786</v>
      </c>
      <c r="F76" s="122" t="str">
        <f t="shared" si="6"/>
        <v>July</v>
      </c>
      <c r="G76" s="122">
        <f t="shared" ca="1" si="7"/>
        <v>24</v>
      </c>
      <c r="H76" s="122" t="s">
        <v>257</v>
      </c>
      <c r="I76" s="214">
        <v>71150</v>
      </c>
      <c r="J76" s="213">
        <v>2</v>
      </c>
    </row>
    <row r="77" spans="1:10" x14ac:dyDescent="0.25">
      <c r="A77" s="216" t="s">
        <v>340</v>
      </c>
      <c r="B77" s="122" t="s">
        <v>245</v>
      </c>
      <c r="C77" s="122" t="s">
        <v>312</v>
      </c>
      <c r="D77" s="122" t="s">
        <v>256</v>
      </c>
      <c r="E77" s="215">
        <v>35965</v>
      </c>
      <c r="F77" s="122" t="str">
        <f t="shared" si="6"/>
        <v>June</v>
      </c>
      <c r="G77" s="122">
        <f t="shared" ca="1" si="7"/>
        <v>18</v>
      </c>
      <c r="H77" s="122" t="s">
        <v>267</v>
      </c>
      <c r="I77" s="214">
        <v>34780</v>
      </c>
      <c r="J77" s="213">
        <v>4</v>
      </c>
    </row>
    <row r="78" spans="1:10" x14ac:dyDescent="0.25">
      <c r="A78" s="216" t="s">
        <v>779</v>
      </c>
      <c r="B78" s="122" t="s">
        <v>285</v>
      </c>
      <c r="C78" s="122" t="s">
        <v>312</v>
      </c>
      <c r="D78" s="122" t="s">
        <v>256</v>
      </c>
      <c r="E78" s="215">
        <v>40596</v>
      </c>
      <c r="F78" s="122" t="str">
        <f t="shared" si="6"/>
        <v>February</v>
      </c>
      <c r="G78" s="122">
        <f t="shared" ca="1" si="7"/>
        <v>5</v>
      </c>
      <c r="H78" s="122" t="s">
        <v>267</v>
      </c>
      <c r="I78" s="214">
        <v>68910</v>
      </c>
      <c r="J78" s="213">
        <v>5</v>
      </c>
    </row>
    <row r="79" spans="1:10" x14ac:dyDescent="0.25">
      <c r="A79" s="216" t="s">
        <v>887</v>
      </c>
      <c r="B79" s="122" t="s">
        <v>285</v>
      </c>
      <c r="C79" s="122" t="s">
        <v>312</v>
      </c>
      <c r="D79" s="122" t="s">
        <v>256</v>
      </c>
      <c r="E79" s="215">
        <v>37018</v>
      </c>
      <c r="F79" s="122" t="str">
        <f t="shared" si="6"/>
        <v>May</v>
      </c>
      <c r="G79" s="122">
        <f t="shared" ca="1" si="7"/>
        <v>15</v>
      </c>
      <c r="H79" s="122" t="s">
        <v>283</v>
      </c>
      <c r="I79" s="214">
        <v>28650</v>
      </c>
      <c r="J79" s="213">
        <v>4</v>
      </c>
    </row>
    <row r="80" spans="1:10" x14ac:dyDescent="0.25">
      <c r="A80" s="216" t="s">
        <v>931</v>
      </c>
      <c r="B80" s="122" t="s">
        <v>266</v>
      </c>
      <c r="C80" s="122" t="s">
        <v>312</v>
      </c>
      <c r="D80" s="122" t="s">
        <v>256</v>
      </c>
      <c r="E80" s="215">
        <v>34996</v>
      </c>
      <c r="F80" s="122" t="str">
        <f t="shared" si="6"/>
        <v>October</v>
      </c>
      <c r="G80" s="122">
        <f t="shared" ca="1" si="7"/>
        <v>21</v>
      </c>
      <c r="H80" s="122" t="s">
        <v>257</v>
      </c>
      <c r="I80" s="214">
        <v>67890</v>
      </c>
      <c r="J80" s="213">
        <v>5</v>
      </c>
    </row>
    <row r="81" spans="1:10" x14ac:dyDescent="0.25">
      <c r="A81" s="216" t="s">
        <v>811</v>
      </c>
      <c r="B81" s="122" t="s">
        <v>271</v>
      </c>
      <c r="C81" s="122" t="s">
        <v>312</v>
      </c>
      <c r="D81" s="122" t="s">
        <v>261</v>
      </c>
      <c r="E81" s="215">
        <v>35842</v>
      </c>
      <c r="F81" s="122" t="str">
        <f t="shared" si="6"/>
        <v>February</v>
      </c>
      <c r="G81" s="122">
        <f t="shared" ca="1" si="7"/>
        <v>18</v>
      </c>
      <c r="H81" s="122" t="s">
        <v>276</v>
      </c>
      <c r="I81" s="214">
        <v>23380</v>
      </c>
      <c r="J81" s="213">
        <v>4</v>
      </c>
    </row>
    <row r="82" spans="1:10" x14ac:dyDescent="0.25">
      <c r="A82" s="216" t="s">
        <v>309</v>
      </c>
      <c r="B82" s="122" t="s">
        <v>285</v>
      </c>
      <c r="C82" s="122" t="s">
        <v>312</v>
      </c>
      <c r="D82" s="122" t="s">
        <v>252</v>
      </c>
      <c r="E82" s="215">
        <v>36602</v>
      </c>
      <c r="F82" s="122" t="str">
        <f t="shared" si="6"/>
        <v>March</v>
      </c>
      <c r="G82" s="122">
        <f t="shared" ca="1" si="7"/>
        <v>16</v>
      </c>
      <c r="I82" s="214">
        <v>30080</v>
      </c>
      <c r="J82" s="213">
        <v>3</v>
      </c>
    </row>
    <row r="83" spans="1:10" x14ac:dyDescent="0.25">
      <c r="A83" s="216" t="s">
        <v>613</v>
      </c>
      <c r="B83" s="122" t="s">
        <v>245</v>
      </c>
      <c r="C83" s="122" t="s">
        <v>312</v>
      </c>
      <c r="D83" s="122" t="s">
        <v>256</v>
      </c>
      <c r="E83" s="215">
        <v>37960</v>
      </c>
      <c r="F83" s="122" t="str">
        <f t="shared" si="6"/>
        <v>December</v>
      </c>
      <c r="G83" s="122">
        <f t="shared" ca="1" si="7"/>
        <v>12</v>
      </c>
      <c r="H83" s="122" t="s">
        <v>257</v>
      </c>
      <c r="I83" s="214">
        <v>66890</v>
      </c>
      <c r="J83" s="213">
        <v>5</v>
      </c>
    </row>
    <row r="84" spans="1:10" x14ac:dyDescent="0.25">
      <c r="A84" s="216" t="s">
        <v>963</v>
      </c>
      <c r="B84" s="122" t="s">
        <v>251</v>
      </c>
      <c r="C84" s="122" t="s">
        <v>312</v>
      </c>
      <c r="D84" s="122" t="s">
        <v>247</v>
      </c>
      <c r="E84" s="215">
        <v>33678</v>
      </c>
      <c r="F84" s="122" t="str">
        <f t="shared" si="6"/>
        <v>March</v>
      </c>
      <c r="G84" s="122">
        <f t="shared" ca="1" si="7"/>
        <v>24</v>
      </c>
      <c r="I84" s="214">
        <v>64460</v>
      </c>
      <c r="J84" s="213">
        <v>1</v>
      </c>
    </row>
    <row r="85" spans="1:10" x14ac:dyDescent="0.25">
      <c r="A85" s="216" t="s">
        <v>290</v>
      </c>
      <c r="B85" s="122" t="s">
        <v>280</v>
      </c>
      <c r="C85" s="122" t="s">
        <v>312</v>
      </c>
      <c r="D85" s="122" t="s">
        <v>247</v>
      </c>
      <c r="E85" s="215">
        <v>35119</v>
      </c>
      <c r="F85" s="122" t="str">
        <f t="shared" si="6"/>
        <v>February</v>
      </c>
      <c r="G85" s="122">
        <f t="shared" ca="1" si="7"/>
        <v>20</v>
      </c>
      <c r="I85" s="214">
        <v>64390</v>
      </c>
      <c r="J85" s="213">
        <v>2</v>
      </c>
    </row>
    <row r="86" spans="1:10" x14ac:dyDescent="0.25">
      <c r="A86" s="216" t="s">
        <v>329</v>
      </c>
      <c r="B86" s="122" t="s">
        <v>245</v>
      </c>
      <c r="C86" s="122" t="s">
        <v>312</v>
      </c>
      <c r="D86" s="122" t="s">
        <v>247</v>
      </c>
      <c r="E86" s="215">
        <v>36470</v>
      </c>
      <c r="F86" s="122" t="str">
        <f t="shared" si="6"/>
        <v>November</v>
      </c>
      <c r="G86" s="122">
        <f t="shared" ca="1" si="7"/>
        <v>17</v>
      </c>
      <c r="I86" s="214">
        <v>23560</v>
      </c>
      <c r="J86" s="213">
        <v>3</v>
      </c>
    </row>
    <row r="87" spans="1:10" x14ac:dyDescent="0.25">
      <c r="A87" s="216" t="s">
        <v>1023</v>
      </c>
      <c r="B87" s="122" t="s">
        <v>245</v>
      </c>
      <c r="C87" s="122" t="s">
        <v>312</v>
      </c>
      <c r="D87" s="122" t="s">
        <v>252</v>
      </c>
      <c r="E87" s="215">
        <v>36487</v>
      </c>
      <c r="F87" s="122" t="str">
        <f t="shared" si="6"/>
        <v>November</v>
      </c>
      <c r="G87" s="122">
        <f t="shared" ca="1" si="7"/>
        <v>16</v>
      </c>
      <c r="I87" s="214">
        <v>33056</v>
      </c>
      <c r="J87" s="213">
        <v>5</v>
      </c>
    </row>
    <row r="88" spans="1:10" x14ac:dyDescent="0.25">
      <c r="A88" s="216" t="s">
        <v>636</v>
      </c>
      <c r="B88" s="122" t="s">
        <v>285</v>
      </c>
      <c r="C88" s="122" t="s">
        <v>312</v>
      </c>
      <c r="D88" s="122" t="s">
        <v>256</v>
      </c>
      <c r="E88" s="215">
        <v>33746</v>
      </c>
      <c r="F88" s="122" t="str">
        <f t="shared" si="6"/>
        <v>May</v>
      </c>
      <c r="G88" s="122">
        <f t="shared" ca="1" si="7"/>
        <v>24</v>
      </c>
      <c r="H88" s="122" t="s">
        <v>262</v>
      </c>
      <c r="I88" s="214">
        <v>31830</v>
      </c>
      <c r="J88" s="213">
        <v>3</v>
      </c>
    </row>
    <row r="89" spans="1:10" x14ac:dyDescent="0.25">
      <c r="A89" s="216" t="s">
        <v>404</v>
      </c>
      <c r="B89" s="122" t="s">
        <v>271</v>
      </c>
      <c r="C89" s="122" t="s">
        <v>312</v>
      </c>
      <c r="D89" s="122" t="s">
        <v>247</v>
      </c>
      <c r="E89" s="215">
        <v>35902</v>
      </c>
      <c r="F89" s="122" t="str">
        <f t="shared" si="6"/>
        <v>April</v>
      </c>
      <c r="G89" s="122">
        <f t="shared" ca="1" si="7"/>
        <v>18</v>
      </c>
      <c r="I89" s="214">
        <v>63340</v>
      </c>
      <c r="J89" s="213">
        <v>3</v>
      </c>
    </row>
    <row r="90" spans="1:10" x14ac:dyDescent="0.25">
      <c r="A90" s="216" t="s">
        <v>682</v>
      </c>
      <c r="B90" s="122" t="s">
        <v>271</v>
      </c>
      <c r="C90" s="122" t="s">
        <v>312</v>
      </c>
      <c r="D90" s="122" t="s">
        <v>256</v>
      </c>
      <c r="E90" s="215">
        <v>37176</v>
      </c>
      <c r="F90" s="122" t="str">
        <f t="shared" si="6"/>
        <v>October</v>
      </c>
      <c r="G90" s="122">
        <f t="shared" ca="1" si="7"/>
        <v>15</v>
      </c>
      <c r="H90" s="122" t="s">
        <v>267</v>
      </c>
      <c r="I90" s="214">
        <v>62790</v>
      </c>
      <c r="J90" s="213">
        <v>2</v>
      </c>
    </row>
    <row r="91" spans="1:10" x14ac:dyDescent="0.25">
      <c r="A91" s="216" t="s">
        <v>371</v>
      </c>
      <c r="B91" s="122" t="s">
        <v>245</v>
      </c>
      <c r="C91" s="122" t="s">
        <v>312</v>
      </c>
      <c r="D91" s="122" t="s">
        <v>247</v>
      </c>
      <c r="E91" s="215">
        <v>39040</v>
      </c>
      <c r="F91" s="122" t="str">
        <f t="shared" si="6"/>
        <v>November</v>
      </c>
      <c r="G91" s="122">
        <f t="shared" ca="1" si="7"/>
        <v>9</v>
      </c>
      <c r="I91" s="214">
        <v>62150</v>
      </c>
      <c r="J91" s="213">
        <v>4</v>
      </c>
    </row>
    <row r="92" spans="1:10" x14ac:dyDescent="0.25">
      <c r="A92" s="216" t="s">
        <v>611</v>
      </c>
      <c r="B92" s="122" t="s">
        <v>271</v>
      </c>
      <c r="C92" s="122" t="s">
        <v>312</v>
      </c>
      <c r="D92" s="122" t="s">
        <v>256</v>
      </c>
      <c r="E92" s="215">
        <v>40274</v>
      </c>
      <c r="F92" s="122" t="str">
        <f t="shared" si="6"/>
        <v>April</v>
      </c>
      <c r="G92" s="122">
        <f t="shared" ca="1" si="7"/>
        <v>6</v>
      </c>
      <c r="H92" s="122" t="s">
        <v>262</v>
      </c>
      <c r="I92" s="214">
        <v>38730</v>
      </c>
      <c r="J92" s="213">
        <v>1</v>
      </c>
    </row>
    <row r="93" spans="1:10" x14ac:dyDescent="0.25">
      <c r="A93" s="216" t="s">
        <v>589</v>
      </c>
      <c r="B93" s="122" t="s">
        <v>271</v>
      </c>
      <c r="C93" s="122" t="s">
        <v>312</v>
      </c>
      <c r="D93" s="122" t="s">
        <v>256</v>
      </c>
      <c r="E93" s="215">
        <v>33575</v>
      </c>
      <c r="F93" s="122" t="str">
        <f t="shared" si="6"/>
        <v>December</v>
      </c>
      <c r="G93" s="122">
        <f t="shared" ca="1" si="7"/>
        <v>24</v>
      </c>
      <c r="H93" s="122" t="s">
        <v>262</v>
      </c>
      <c r="I93" s="214">
        <v>61400</v>
      </c>
      <c r="J93" s="213">
        <v>5</v>
      </c>
    </row>
    <row r="94" spans="1:10" x14ac:dyDescent="0.25">
      <c r="A94" s="216" t="s">
        <v>729</v>
      </c>
      <c r="B94" s="122" t="s">
        <v>285</v>
      </c>
      <c r="C94" s="122" t="s">
        <v>312</v>
      </c>
      <c r="D94" s="122" t="s">
        <v>256</v>
      </c>
      <c r="E94" s="215">
        <v>35829</v>
      </c>
      <c r="F94" s="122" t="str">
        <f t="shared" si="6"/>
        <v>February</v>
      </c>
      <c r="G94" s="122">
        <f t="shared" ca="1" si="7"/>
        <v>18</v>
      </c>
      <c r="H94" s="122" t="s">
        <v>257</v>
      </c>
      <c r="I94" s="214">
        <v>61030</v>
      </c>
      <c r="J94" s="213">
        <v>3</v>
      </c>
    </row>
    <row r="95" spans="1:10" x14ac:dyDescent="0.25">
      <c r="A95" s="216" t="s">
        <v>311</v>
      </c>
      <c r="B95" s="122" t="s">
        <v>245</v>
      </c>
      <c r="C95" s="122" t="s">
        <v>312</v>
      </c>
      <c r="D95" s="122" t="s">
        <v>252</v>
      </c>
      <c r="E95" s="215">
        <v>36059</v>
      </c>
      <c r="F95" s="122" t="str">
        <f t="shared" si="6"/>
        <v>September</v>
      </c>
      <c r="G95" s="122">
        <f t="shared" ca="1" si="7"/>
        <v>18</v>
      </c>
      <c r="I95" s="214">
        <v>18500</v>
      </c>
      <c r="J95" s="213">
        <v>5</v>
      </c>
    </row>
    <row r="96" spans="1:10" x14ac:dyDescent="0.25">
      <c r="A96" s="216" t="s">
        <v>781</v>
      </c>
      <c r="B96" s="122" t="s">
        <v>285</v>
      </c>
      <c r="C96" s="122" t="s">
        <v>312</v>
      </c>
      <c r="D96" s="122" t="s">
        <v>261</v>
      </c>
      <c r="E96" s="215">
        <v>33472</v>
      </c>
      <c r="F96" s="122" t="str">
        <f t="shared" si="6"/>
        <v>August</v>
      </c>
      <c r="G96" s="122">
        <f t="shared" ca="1" si="7"/>
        <v>25</v>
      </c>
      <c r="H96" s="122" t="s">
        <v>262</v>
      </c>
      <c r="I96" s="214">
        <v>13800</v>
      </c>
      <c r="J96" s="213">
        <v>3</v>
      </c>
    </row>
    <row r="97" spans="1:10" x14ac:dyDescent="0.25">
      <c r="A97" s="216" t="s">
        <v>839</v>
      </c>
      <c r="B97" s="122" t="s">
        <v>245</v>
      </c>
      <c r="C97" s="122" t="s">
        <v>312</v>
      </c>
      <c r="D97" s="122" t="s">
        <v>256</v>
      </c>
      <c r="E97" s="215">
        <v>40292</v>
      </c>
      <c r="F97" s="122" t="str">
        <f t="shared" si="6"/>
        <v>April</v>
      </c>
      <c r="G97" s="122">
        <f t="shared" ca="1" si="7"/>
        <v>6</v>
      </c>
      <c r="H97" s="122" t="s">
        <v>257</v>
      </c>
      <c r="I97" s="214">
        <v>23280</v>
      </c>
      <c r="J97" s="213">
        <v>1</v>
      </c>
    </row>
    <row r="98" spans="1:10" x14ac:dyDescent="0.25">
      <c r="A98" s="216" t="s">
        <v>716</v>
      </c>
      <c r="B98" s="122" t="s">
        <v>271</v>
      </c>
      <c r="C98" s="122" t="s">
        <v>312</v>
      </c>
      <c r="D98" s="122" t="s">
        <v>256</v>
      </c>
      <c r="E98" s="215">
        <v>34832</v>
      </c>
      <c r="F98" s="122" t="str">
        <f t="shared" si="6"/>
        <v>May</v>
      </c>
      <c r="G98" s="122">
        <f t="shared" ca="1" si="7"/>
        <v>21</v>
      </c>
      <c r="H98" s="122" t="s">
        <v>257</v>
      </c>
      <c r="I98" s="214">
        <v>31910</v>
      </c>
      <c r="J98" s="213">
        <v>5</v>
      </c>
    </row>
    <row r="99" spans="1:10" x14ac:dyDescent="0.25">
      <c r="A99" s="216" t="s">
        <v>319</v>
      </c>
      <c r="B99" s="122" t="s">
        <v>285</v>
      </c>
      <c r="C99" s="122" t="s">
        <v>312</v>
      </c>
      <c r="D99" s="122" t="s">
        <v>247</v>
      </c>
      <c r="E99" s="215">
        <v>34651</v>
      </c>
      <c r="F99" s="122" t="str">
        <f t="shared" si="6"/>
        <v>November</v>
      </c>
      <c r="G99" s="122">
        <f t="shared" ca="1" si="7"/>
        <v>22</v>
      </c>
      <c r="I99" s="214">
        <v>46670</v>
      </c>
      <c r="J99" s="213">
        <v>3</v>
      </c>
    </row>
    <row r="100" spans="1:10" x14ac:dyDescent="0.25">
      <c r="A100" s="216" t="s">
        <v>619</v>
      </c>
      <c r="B100" s="122" t="s">
        <v>245</v>
      </c>
      <c r="C100" s="122" t="s">
        <v>312</v>
      </c>
      <c r="D100" s="122" t="s">
        <v>247</v>
      </c>
      <c r="E100" s="215">
        <v>35160</v>
      </c>
      <c r="F100" s="122" t="str">
        <f t="shared" si="6"/>
        <v>April</v>
      </c>
      <c r="G100" s="122">
        <f t="shared" ca="1" si="7"/>
        <v>20</v>
      </c>
      <c r="I100" s="214">
        <v>50550</v>
      </c>
      <c r="J100" s="213">
        <v>2</v>
      </c>
    </row>
    <row r="101" spans="1:10" x14ac:dyDescent="0.25">
      <c r="A101" s="216" t="s">
        <v>802</v>
      </c>
      <c r="B101" s="122" t="s">
        <v>266</v>
      </c>
      <c r="C101" s="122" t="s">
        <v>312</v>
      </c>
      <c r="D101" s="122" t="s">
        <v>261</v>
      </c>
      <c r="E101" s="215">
        <v>39802</v>
      </c>
      <c r="F101" s="122" t="str">
        <f t="shared" si="6"/>
        <v>December</v>
      </c>
      <c r="G101" s="122">
        <f t="shared" ca="1" si="7"/>
        <v>7</v>
      </c>
      <c r="H101" s="122" t="s">
        <v>276</v>
      </c>
      <c r="I101" s="214">
        <v>22535</v>
      </c>
      <c r="J101" s="213">
        <v>3</v>
      </c>
    </row>
    <row r="102" spans="1:10" x14ac:dyDescent="0.25">
      <c r="A102" s="217" t="s">
        <v>372</v>
      </c>
    </row>
    <row r="103" spans="1:10" x14ac:dyDescent="0.25">
      <c r="A103" s="216" t="s">
        <v>429</v>
      </c>
      <c r="B103" s="122" t="s">
        <v>285</v>
      </c>
      <c r="C103" s="122" t="s">
        <v>372</v>
      </c>
      <c r="D103" s="122" t="s">
        <v>256</v>
      </c>
      <c r="E103" s="215">
        <v>37883</v>
      </c>
      <c r="F103" s="122" t="str">
        <f t="shared" ref="F103:F110" si="8">CHOOSE(MONTH(E103),"January","February","March","April","May","June","July","August","September","October","November","December")</f>
        <v>September</v>
      </c>
      <c r="G103" s="122">
        <f t="shared" ref="G103:G110" ca="1" si="9">DATEDIF(E103,TODAY(),"Y")</f>
        <v>13</v>
      </c>
      <c r="H103" s="122" t="s">
        <v>257</v>
      </c>
      <c r="I103" s="214">
        <v>86530</v>
      </c>
      <c r="J103" s="213">
        <v>1</v>
      </c>
    </row>
    <row r="104" spans="1:10" x14ac:dyDescent="0.25">
      <c r="A104" s="216" t="s">
        <v>563</v>
      </c>
      <c r="B104" s="122" t="s">
        <v>271</v>
      </c>
      <c r="C104" s="122" t="s">
        <v>372</v>
      </c>
      <c r="D104" s="122" t="s">
        <v>256</v>
      </c>
      <c r="E104" s="215">
        <v>38397</v>
      </c>
      <c r="F104" s="122" t="str">
        <f t="shared" si="8"/>
        <v>February</v>
      </c>
      <c r="G104" s="122">
        <f t="shared" ca="1" si="9"/>
        <v>11</v>
      </c>
      <c r="H104" s="122" t="s">
        <v>257</v>
      </c>
      <c r="I104" s="214">
        <v>36630</v>
      </c>
      <c r="J104" s="213">
        <v>4</v>
      </c>
    </row>
    <row r="105" spans="1:10" x14ac:dyDescent="0.25">
      <c r="A105" s="216" t="s">
        <v>817</v>
      </c>
      <c r="B105" s="122" t="s">
        <v>285</v>
      </c>
      <c r="C105" s="122" t="s">
        <v>372</v>
      </c>
      <c r="D105" s="122" t="s">
        <v>247</v>
      </c>
      <c r="E105" s="215">
        <v>38755</v>
      </c>
      <c r="F105" s="122" t="str">
        <f t="shared" si="8"/>
        <v>February</v>
      </c>
      <c r="G105" s="122">
        <f t="shared" ca="1" si="9"/>
        <v>10</v>
      </c>
      <c r="I105" s="214">
        <v>78860</v>
      </c>
      <c r="J105" s="213">
        <v>2</v>
      </c>
    </row>
    <row r="106" spans="1:10" x14ac:dyDescent="0.25">
      <c r="A106" s="216" t="s">
        <v>718</v>
      </c>
      <c r="B106" s="122" t="s">
        <v>285</v>
      </c>
      <c r="C106" s="122" t="s">
        <v>372</v>
      </c>
      <c r="D106" s="122" t="s">
        <v>256</v>
      </c>
      <c r="E106" s="215">
        <v>39923</v>
      </c>
      <c r="F106" s="122" t="str">
        <f t="shared" si="8"/>
        <v>April</v>
      </c>
      <c r="G106" s="122">
        <f t="shared" ca="1" si="9"/>
        <v>7</v>
      </c>
      <c r="H106" s="122" t="s">
        <v>257</v>
      </c>
      <c r="I106" s="214">
        <v>76440</v>
      </c>
      <c r="J106" s="213">
        <v>3</v>
      </c>
    </row>
    <row r="107" spans="1:10" x14ac:dyDescent="0.25">
      <c r="A107" s="216" t="s">
        <v>388</v>
      </c>
      <c r="B107" s="122" t="s">
        <v>251</v>
      </c>
      <c r="C107" s="122" t="s">
        <v>372</v>
      </c>
      <c r="D107" s="122" t="s">
        <v>261</v>
      </c>
      <c r="E107" s="215">
        <v>40505</v>
      </c>
      <c r="F107" s="122" t="str">
        <f t="shared" si="8"/>
        <v>November</v>
      </c>
      <c r="G107" s="122">
        <f t="shared" ca="1" si="9"/>
        <v>5</v>
      </c>
      <c r="H107" s="122" t="s">
        <v>283</v>
      </c>
      <c r="I107" s="214">
        <v>46230</v>
      </c>
      <c r="J107" s="213">
        <v>2</v>
      </c>
    </row>
    <row r="108" spans="1:10" x14ac:dyDescent="0.25">
      <c r="A108" s="216" t="s">
        <v>448</v>
      </c>
      <c r="B108" s="122" t="s">
        <v>271</v>
      </c>
      <c r="C108" s="122" t="s">
        <v>372</v>
      </c>
      <c r="D108" s="122" t="s">
        <v>247</v>
      </c>
      <c r="E108" s="215">
        <v>39529</v>
      </c>
      <c r="F108" s="122" t="str">
        <f t="shared" si="8"/>
        <v>March</v>
      </c>
      <c r="G108" s="122">
        <f t="shared" ca="1" si="9"/>
        <v>8</v>
      </c>
      <c r="I108" s="214">
        <v>35620</v>
      </c>
      <c r="J108" s="213">
        <v>4</v>
      </c>
    </row>
    <row r="109" spans="1:10" x14ac:dyDescent="0.25">
      <c r="A109" s="216" t="s">
        <v>591</v>
      </c>
      <c r="B109" s="122" t="s">
        <v>280</v>
      </c>
      <c r="C109" s="122" t="s">
        <v>372</v>
      </c>
      <c r="D109" s="122" t="s">
        <v>256</v>
      </c>
      <c r="E109" s="215">
        <v>39388</v>
      </c>
      <c r="F109" s="122" t="str">
        <f t="shared" si="8"/>
        <v>November</v>
      </c>
      <c r="G109" s="122">
        <f t="shared" ca="1" si="9"/>
        <v>9</v>
      </c>
      <c r="H109" s="122" t="s">
        <v>257</v>
      </c>
      <c r="I109" s="214">
        <v>71120</v>
      </c>
      <c r="J109" s="213">
        <v>4</v>
      </c>
    </row>
    <row r="110" spans="1:10" x14ac:dyDescent="0.25">
      <c r="A110" s="216" t="s">
        <v>932</v>
      </c>
      <c r="B110" s="122" t="s">
        <v>285</v>
      </c>
      <c r="C110" s="122" t="s">
        <v>372</v>
      </c>
      <c r="D110" s="122" t="s">
        <v>247</v>
      </c>
      <c r="E110" s="215">
        <v>40253</v>
      </c>
      <c r="F110" s="122" t="str">
        <f t="shared" si="8"/>
        <v>March</v>
      </c>
      <c r="G110" s="122">
        <f t="shared" ca="1" si="9"/>
        <v>6</v>
      </c>
      <c r="I110" s="214">
        <v>59350</v>
      </c>
      <c r="J110" s="213">
        <v>5</v>
      </c>
    </row>
    <row r="111" spans="1:10" x14ac:dyDescent="0.25">
      <c r="A111" s="217" t="s">
        <v>381</v>
      </c>
    </row>
    <row r="112" spans="1:10" x14ac:dyDescent="0.25">
      <c r="A112" s="216" t="s">
        <v>625</v>
      </c>
      <c r="B112" s="122" t="s">
        <v>271</v>
      </c>
      <c r="C112" s="122" t="s">
        <v>381</v>
      </c>
      <c r="D112" s="122" t="s">
        <v>261</v>
      </c>
      <c r="E112" s="215">
        <v>40516</v>
      </c>
      <c r="F112" s="122" t="str">
        <f t="shared" ref="F112:F120" si="10">CHOOSE(MONTH(E112),"January","February","March","April","May","June","July","August","September","October","November","December")</f>
        <v>December</v>
      </c>
      <c r="G112" s="122">
        <f t="shared" ref="G112:G120" ca="1" si="11">DATEDIF(E112,TODAY(),"Y")</f>
        <v>5</v>
      </c>
      <c r="H112" s="122" t="s">
        <v>283</v>
      </c>
      <c r="I112" s="214">
        <v>28625</v>
      </c>
      <c r="J112" s="213">
        <v>1</v>
      </c>
    </row>
    <row r="113" spans="1:10" x14ac:dyDescent="0.25">
      <c r="A113" s="216" t="s">
        <v>504</v>
      </c>
      <c r="B113" s="122" t="s">
        <v>271</v>
      </c>
      <c r="C113" s="122" t="s">
        <v>381</v>
      </c>
      <c r="D113" s="122" t="s">
        <v>256</v>
      </c>
      <c r="E113" s="215">
        <v>36249</v>
      </c>
      <c r="F113" s="122" t="str">
        <f t="shared" si="10"/>
        <v>March</v>
      </c>
      <c r="G113" s="122">
        <f t="shared" ca="1" si="11"/>
        <v>17</v>
      </c>
      <c r="H113" s="122" t="s">
        <v>257</v>
      </c>
      <c r="I113" s="214">
        <v>49860</v>
      </c>
      <c r="J113" s="213">
        <v>2</v>
      </c>
    </row>
    <row r="114" spans="1:10" x14ac:dyDescent="0.25">
      <c r="A114" s="216" t="s">
        <v>650</v>
      </c>
      <c r="B114" s="122" t="s">
        <v>285</v>
      </c>
      <c r="C114" s="122" t="s">
        <v>381</v>
      </c>
      <c r="D114" s="122" t="s">
        <v>256</v>
      </c>
      <c r="E114" s="215">
        <v>33071</v>
      </c>
      <c r="F114" s="122" t="str">
        <f t="shared" si="10"/>
        <v>July</v>
      </c>
      <c r="G114" s="122">
        <f t="shared" ca="1" si="11"/>
        <v>26</v>
      </c>
      <c r="H114" s="122" t="s">
        <v>283</v>
      </c>
      <c r="I114" s="214">
        <v>69060</v>
      </c>
      <c r="J114" s="213">
        <v>1</v>
      </c>
    </row>
    <row r="115" spans="1:10" x14ac:dyDescent="0.25">
      <c r="A115" s="216" t="s">
        <v>436</v>
      </c>
      <c r="B115" s="122" t="s">
        <v>280</v>
      </c>
      <c r="C115" s="122" t="s">
        <v>381</v>
      </c>
      <c r="D115" s="122" t="s">
        <v>256</v>
      </c>
      <c r="E115" s="215">
        <v>36182</v>
      </c>
      <c r="F115" s="122" t="str">
        <f t="shared" si="10"/>
        <v>January</v>
      </c>
      <c r="G115" s="122">
        <f t="shared" ca="1" si="11"/>
        <v>17</v>
      </c>
      <c r="H115" s="122" t="s">
        <v>283</v>
      </c>
      <c r="I115" s="214">
        <v>68300</v>
      </c>
      <c r="J115" s="213">
        <v>5</v>
      </c>
    </row>
    <row r="116" spans="1:10" x14ac:dyDescent="0.25">
      <c r="A116" s="216" t="s">
        <v>924</v>
      </c>
      <c r="B116" s="122" t="s">
        <v>266</v>
      </c>
      <c r="C116" s="122" t="s">
        <v>381</v>
      </c>
      <c r="D116" s="122" t="s">
        <v>256</v>
      </c>
      <c r="E116" s="215">
        <v>35514</v>
      </c>
      <c r="F116" s="122" t="str">
        <f t="shared" si="10"/>
        <v>March</v>
      </c>
      <c r="G116" s="122">
        <f t="shared" ca="1" si="11"/>
        <v>19</v>
      </c>
      <c r="H116" s="122" t="s">
        <v>267</v>
      </c>
      <c r="I116" s="214">
        <v>26510</v>
      </c>
      <c r="J116" s="213">
        <v>1</v>
      </c>
    </row>
    <row r="117" spans="1:10" x14ac:dyDescent="0.25">
      <c r="A117" s="216" t="s">
        <v>572</v>
      </c>
      <c r="B117" s="122" t="s">
        <v>285</v>
      </c>
      <c r="C117" s="122" t="s">
        <v>381</v>
      </c>
      <c r="D117" s="122" t="s">
        <v>256</v>
      </c>
      <c r="E117" s="215">
        <v>39147</v>
      </c>
      <c r="F117" s="122" t="str">
        <f t="shared" si="10"/>
        <v>March</v>
      </c>
      <c r="G117" s="122">
        <f t="shared" ca="1" si="11"/>
        <v>9</v>
      </c>
      <c r="H117" s="122" t="s">
        <v>283</v>
      </c>
      <c r="I117" s="214">
        <v>43680</v>
      </c>
      <c r="J117" s="213">
        <v>5</v>
      </c>
    </row>
    <row r="118" spans="1:10" x14ac:dyDescent="0.25">
      <c r="A118" s="216" t="s">
        <v>808</v>
      </c>
      <c r="B118" s="122" t="s">
        <v>271</v>
      </c>
      <c r="C118" s="122" t="s">
        <v>381</v>
      </c>
      <c r="D118" s="122" t="s">
        <v>256</v>
      </c>
      <c r="E118" s="215">
        <v>35449</v>
      </c>
      <c r="F118" s="122" t="str">
        <f t="shared" si="10"/>
        <v>January</v>
      </c>
      <c r="G118" s="122">
        <f t="shared" ca="1" si="11"/>
        <v>19</v>
      </c>
      <c r="H118" s="122" t="s">
        <v>283</v>
      </c>
      <c r="I118" s="214">
        <v>22920</v>
      </c>
      <c r="J118" s="213">
        <v>3</v>
      </c>
    </row>
    <row r="119" spans="1:10" x14ac:dyDescent="0.25">
      <c r="A119" s="216" t="s">
        <v>370</v>
      </c>
      <c r="B119" s="122" t="s">
        <v>271</v>
      </c>
      <c r="C119" s="122" t="s">
        <v>381</v>
      </c>
      <c r="D119" s="122" t="s">
        <v>252</v>
      </c>
      <c r="E119" s="215">
        <v>40313</v>
      </c>
      <c r="F119" s="122" t="str">
        <f t="shared" si="10"/>
        <v>May</v>
      </c>
      <c r="G119" s="122">
        <f t="shared" ca="1" si="11"/>
        <v>6</v>
      </c>
      <c r="I119" s="214">
        <v>27484</v>
      </c>
      <c r="J119" s="213">
        <v>4</v>
      </c>
    </row>
    <row r="120" spans="1:10" x14ac:dyDescent="0.25">
      <c r="A120" s="216" t="s">
        <v>927</v>
      </c>
      <c r="B120" s="122" t="s">
        <v>285</v>
      </c>
      <c r="C120" s="122" t="s">
        <v>381</v>
      </c>
      <c r="D120" s="122" t="s">
        <v>261</v>
      </c>
      <c r="E120" s="215">
        <v>40572</v>
      </c>
      <c r="F120" s="122" t="str">
        <f t="shared" si="10"/>
        <v>January</v>
      </c>
      <c r="G120" s="122">
        <f t="shared" ca="1" si="11"/>
        <v>5</v>
      </c>
      <c r="H120" s="122" t="s">
        <v>283</v>
      </c>
      <c r="I120" s="214">
        <v>10520</v>
      </c>
      <c r="J120" s="213">
        <v>4</v>
      </c>
    </row>
    <row r="121" spans="1:10" x14ac:dyDescent="0.25">
      <c r="A121" s="217" t="s">
        <v>391</v>
      </c>
    </row>
    <row r="122" spans="1:10" x14ac:dyDescent="0.25">
      <c r="A122" s="216" t="s">
        <v>314</v>
      </c>
      <c r="B122" s="122" t="s">
        <v>266</v>
      </c>
      <c r="C122" s="122" t="s">
        <v>391</v>
      </c>
      <c r="D122" s="122" t="s">
        <v>247</v>
      </c>
      <c r="E122" s="215">
        <v>36342</v>
      </c>
      <c r="F122" s="122" t="str">
        <f t="shared" ref="F122:F140" si="12">CHOOSE(MONTH(E122),"January","February","March","April","May","June","July","August","September","October","November","December")</f>
        <v>July</v>
      </c>
      <c r="G122" s="122">
        <f t="shared" ref="G122:G140" ca="1" si="13">DATEDIF(E122,TODAY(),"Y")</f>
        <v>17</v>
      </c>
      <c r="I122" s="214">
        <v>86970</v>
      </c>
      <c r="J122" s="213">
        <v>4</v>
      </c>
    </row>
    <row r="123" spans="1:10" x14ac:dyDescent="0.25">
      <c r="A123" s="216" t="s">
        <v>344</v>
      </c>
      <c r="B123" s="122" t="s">
        <v>245</v>
      </c>
      <c r="C123" s="122" t="s">
        <v>391</v>
      </c>
      <c r="D123" s="122" t="s">
        <v>256</v>
      </c>
      <c r="E123" s="215">
        <v>33447</v>
      </c>
      <c r="F123" s="122" t="str">
        <f t="shared" si="12"/>
        <v>July</v>
      </c>
      <c r="G123" s="122">
        <f t="shared" ca="1" si="13"/>
        <v>25</v>
      </c>
      <c r="H123" s="122" t="s">
        <v>283</v>
      </c>
      <c r="I123" s="214">
        <v>37620</v>
      </c>
      <c r="J123" s="213">
        <v>5</v>
      </c>
    </row>
    <row r="124" spans="1:10" x14ac:dyDescent="0.25">
      <c r="A124" s="216" t="s">
        <v>936</v>
      </c>
      <c r="B124" s="122" t="s">
        <v>271</v>
      </c>
      <c r="C124" s="122" t="s">
        <v>391</v>
      </c>
      <c r="D124" s="122" t="s">
        <v>261</v>
      </c>
      <c r="E124" s="215">
        <v>36357</v>
      </c>
      <c r="F124" s="122" t="str">
        <f t="shared" si="12"/>
        <v>July</v>
      </c>
      <c r="G124" s="122">
        <f t="shared" ca="1" si="13"/>
        <v>17</v>
      </c>
      <c r="H124" s="122" t="s">
        <v>276</v>
      </c>
      <c r="I124" s="214">
        <v>42905</v>
      </c>
      <c r="J124" s="213">
        <v>1</v>
      </c>
    </row>
    <row r="125" spans="1:10" x14ac:dyDescent="0.25">
      <c r="A125" s="216" t="s">
        <v>895</v>
      </c>
      <c r="B125" s="122" t="s">
        <v>285</v>
      </c>
      <c r="C125" s="122" t="s">
        <v>391</v>
      </c>
      <c r="D125" s="122" t="s">
        <v>256</v>
      </c>
      <c r="E125" s="215">
        <v>33823</v>
      </c>
      <c r="F125" s="122" t="str">
        <f t="shared" si="12"/>
        <v>August</v>
      </c>
      <c r="G125" s="122">
        <f t="shared" ca="1" si="13"/>
        <v>24</v>
      </c>
      <c r="H125" s="122" t="s">
        <v>283</v>
      </c>
      <c r="I125" s="214">
        <v>82760</v>
      </c>
      <c r="J125" s="213">
        <v>4</v>
      </c>
    </row>
    <row r="126" spans="1:10" x14ac:dyDescent="0.25">
      <c r="A126" s="216" t="s">
        <v>579</v>
      </c>
      <c r="B126" s="122" t="s">
        <v>271</v>
      </c>
      <c r="C126" s="122" t="s">
        <v>391</v>
      </c>
      <c r="D126" s="122" t="s">
        <v>256</v>
      </c>
      <c r="E126" s="215">
        <v>33613</v>
      </c>
      <c r="F126" s="122" t="str">
        <f t="shared" si="12"/>
        <v>January</v>
      </c>
      <c r="G126" s="122">
        <f t="shared" ca="1" si="13"/>
        <v>24</v>
      </c>
      <c r="H126" s="122" t="s">
        <v>267</v>
      </c>
      <c r="I126" s="214">
        <v>82500</v>
      </c>
      <c r="J126" s="213">
        <v>5</v>
      </c>
    </row>
    <row r="127" spans="1:10" x14ac:dyDescent="0.25">
      <c r="A127" s="216" t="s">
        <v>805</v>
      </c>
      <c r="B127" s="122" t="s">
        <v>266</v>
      </c>
      <c r="C127" s="122" t="s">
        <v>391</v>
      </c>
      <c r="D127" s="122" t="s">
        <v>256</v>
      </c>
      <c r="E127" s="215">
        <v>35487</v>
      </c>
      <c r="F127" s="122" t="str">
        <f t="shared" si="12"/>
        <v>February</v>
      </c>
      <c r="G127" s="122">
        <f t="shared" ca="1" si="13"/>
        <v>19</v>
      </c>
      <c r="H127" s="122" t="s">
        <v>257</v>
      </c>
      <c r="I127" s="214">
        <v>80120</v>
      </c>
      <c r="J127" s="213">
        <v>4</v>
      </c>
    </row>
    <row r="128" spans="1:10" x14ac:dyDescent="0.25">
      <c r="A128" s="216" t="s">
        <v>975</v>
      </c>
      <c r="B128" s="122" t="s">
        <v>251</v>
      </c>
      <c r="C128" s="122" t="s">
        <v>391</v>
      </c>
      <c r="D128" s="122" t="s">
        <v>247</v>
      </c>
      <c r="E128" s="215">
        <v>33245</v>
      </c>
      <c r="F128" s="122" t="str">
        <f t="shared" si="12"/>
        <v>January</v>
      </c>
      <c r="G128" s="122">
        <f t="shared" ca="1" si="13"/>
        <v>25</v>
      </c>
      <c r="I128" s="214">
        <v>80050</v>
      </c>
      <c r="J128" s="213">
        <v>2</v>
      </c>
    </row>
    <row r="129" spans="1:10" x14ac:dyDescent="0.25">
      <c r="A129" s="216" t="s">
        <v>484</v>
      </c>
      <c r="B129" s="122" t="s">
        <v>271</v>
      </c>
      <c r="C129" s="122" t="s">
        <v>391</v>
      </c>
      <c r="D129" s="122" t="s">
        <v>256</v>
      </c>
      <c r="E129" s="215">
        <v>36077</v>
      </c>
      <c r="F129" s="122" t="str">
        <f t="shared" si="12"/>
        <v>October</v>
      </c>
      <c r="G129" s="122">
        <f t="shared" ca="1" si="13"/>
        <v>18</v>
      </c>
      <c r="H129" s="122" t="s">
        <v>283</v>
      </c>
      <c r="I129" s="214">
        <v>50110</v>
      </c>
      <c r="J129" s="213">
        <v>1</v>
      </c>
    </row>
    <row r="130" spans="1:10" x14ac:dyDescent="0.25">
      <c r="A130" s="216" t="s">
        <v>458</v>
      </c>
      <c r="B130" s="122" t="s">
        <v>285</v>
      </c>
      <c r="C130" s="122" t="s">
        <v>391</v>
      </c>
      <c r="D130" s="122" t="s">
        <v>252</v>
      </c>
      <c r="E130" s="215">
        <v>35673</v>
      </c>
      <c r="F130" s="122" t="str">
        <f t="shared" si="12"/>
        <v>August</v>
      </c>
      <c r="G130" s="122">
        <f t="shared" ca="1" si="13"/>
        <v>19</v>
      </c>
      <c r="I130" s="214">
        <v>12676</v>
      </c>
      <c r="J130" s="213">
        <v>2</v>
      </c>
    </row>
    <row r="131" spans="1:10" x14ac:dyDescent="0.25">
      <c r="A131" s="216" t="s">
        <v>1002</v>
      </c>
      <c r="B131" s="122" t="s">
        <v>271</v>
      </c>
      <c r="C131" s="122" t="s">
        <v>391</v>
      </c>
      <c r="D131" s="122" t="s">
        <v>247</v>
      </c>
      <c r="E131" s="215">
        <v>35737</v>
      </c>
      <c r="F131" s="122" t="str">
        <f t="shared" si="12"/>
        <v>November</v>
      </c>
      <c r="G131" s="122">
        <f t="shared" ca="1" si="13"/>
        <v>19</v>
      </c>
      <c r="I131" s="214">
        <v>76020</v>
      </c>
      <c r="J131" s="213">
        <v>1</v>
      </c>
    </row>
    <row r="132" spans="1:10" x14ac:dyDescent="0.25">
      <c r="A132" s="216" t="s">
        <v>871</v>
      </c>
      <c r="B132" s="122" t="s">
        <v>266</v>
      </c>
      <c r="C132" s="122" t="s">
        <v>391</v>
      </c>
      <c r="D132" s="122" t="s">
        <v>256</v>
      </c>
      <c r="E132" s="215">
        <v>37612</v>
      </c>
      <c r="F132" s="122" t="str">
        <f t="shared" si="12"/>
        <v>December</v>
      </c>
      <c r="G132" s="122">
        <f t="shared" ca="1" si="13"/>
        <v>13</v>
      </c>
      <c r="H132" s="122" t="s">
        <v>267</v>
      </c>
      <c r="I132" s="214">
        <v>39740</v>
      </c>
      <c r="J132" s="213">
        <v>1</v>
      </c>
    </row>
    <row r="133" spans="1:10" x14ac:dyDescent="0.25">
      <c r="A133" s="216" t="s">
        <v>375</v>
      </c>
      <c r="B133" s="122" t="s">
        <v>251</v>
      </c>
      <c r="C133" s="122" t="s">
        <v>391</v>
      </c>
      <c r="D133" s="122" t="s">
        <v>247</v>
      </c>
      <c r="E133" s="215">
        <v>36176</v>
      </c>
      <c r="F133" s="122" t="str">
        <f t="shared" si="12"/>
        <v>January</v>
      </c>
      <c r="G133" s="122">
        <f t="shared" ca="1" si="13"/>
        <v>17</v>
      </c>
      <c r="I133" s="214">
        <v>32940</v>
      </c>
      <c r="J133" s="213">
        <v>5</v>
      </c>
    </row>
    <row r="134" spans="1:10" x14ac:dyDescent="0.25">
      <c r="A134" s="216" t="s">
        <v>539</v>
      </c>
      <c r="B134" s="122" t="s">
        <v>280</v>
      </c>
      <c r="C134" s="122" t="s">
        <v>391</v>
      </c>
      <c r="D134" s="122" t="s">
        <v>247</v>
      </c>
      <c r="E134" s="215">
        <v>37667</v>
      </c>
      <c r="F134" s="122" t="str">
        <f t="shared" si="12"/>
        <v>February</v>
      </c>
      <c r="G134" s="122">
        <f t="shared" ca="1" si="13"/>
        <v>13</v>
      </c>
      <c r="I134" s="214">
        <v>73390</v>
      </c>
      <c r="J134" s="213">
        <v>2</v>
      </c>
    </row>
    <row r="135" spans="1:10" x14ac:dyDescent="0.25">
      <c r="A135" s="216" t="s">
        <v>569</v>
      </c>
      <c r="B135" s="122" t="s">
        <v>285</v>
      </c>
      <c r="C135" s="122" t="s">
        <v>391</v>
      </c>
      <c r="D135" s="122" t="s">
        <v>261</v>
      </c>
      <c r="E135" s="215">
        <v>33994</v>
      </c>
      <c r="F135" s="122" t="str">
        <f t="shared" si="12"/>
        <v>January</v>
      </c>
      <c r="G135" s="122">
        <f t="shared" ca="1" si="13"/>
        <v>23</v>
      </c>
      <c r="H135" s="122" t="s">
        <v>276</v>
      </c>
      <c r="I135" s="214">
        <v>18655</v>
      </c>
      <c r="J135" s="213">
        <v>4</v>
      </c>
    </row>
    <row r="136" spans="1:10" x14ac:dyDescent="0.25">
      <c r="A136" s="216" t="s">
        <v>816</v>
      </c>
      <c r="B136" s="122" t="s">
        <v>245</v>
      </c>
      <c r="C136" s="122" t="s">
        <v>391</v>
      </c>
      <c r="D136" s="122" t="s">
        <v>247</v>
      </c>
      <c r="E136" s="215">
        <v>35150</v>
      </c>
      <c r="F136" s="122" t="str">
        <f t="shared" si="12"/>
        <v>March</v>
      </c>
      <c r="G136" s="122">
        <f t="shared" ca="1" si="13"/>
        <v>20</v>
      </c>
      <c r="I136" s="214">
        <v>35260</v>
      </c>
      <c r="J136" s="213">
        <v>2</v>
      </c>
    </row>
    <row r="137" spans="1:10" x14ac:dyDescent="0.25">
      <c r="A137" s="216" t="s">
        <v>244</v>
      </c>
      <c r="B137" s="122" t="s">
        <v>285</v>
      </c>
      <c r="C137" s="122" t="s">
        <v>391</v>
      </c>
      <c r="D137" s="122" t="s">
        <v>252</v>
      </c>
      <c r="E137" s="215">
        <v>33183</v>
      </c>
      <c r="F137" s="122" t="str">
        <f t="shared" si="12"/>
        <v>November</v>
      </c>
      <c r="G137" s="122">
        <f t="shared" ca="1" si="13"/>
        <v>26</v>
      </c>
      <c r="I137" s="214">
        <v>14712</v>
      </c>
      <c r="J137" s="213">
        <v>5</v>
      </c>
    </row>
    <row r="138" spans="1:10" x14ac:dyDescent="0.25">
      <c r="A138" s="216" t="s">
        <v>324</v>
      </c>
      <c r="B138" s="122" t="s">
        <v>271</v>
      </c>
      <c r="C138" s="122" t="s">
        <v>391</v>
      </c>
      <c r="D138" s="122" t="s">
        <v>247</v>
      </c>
      <c r="E138" s="215">
        <v>35959</v>
      </c>
      <c r="F138" s="122" t="str">
        <f t="shared" si="12"/>
        <v>June</v>
      </c>
      <c r="G138" s="122">
        <f t="shared" ca="1" si="13"/>
        <v>18</v>
      </c>
      <c r="I138" s="214">
        <v>64470</v>
      </c>
      <c r="J138" s="213">
        <v>3</v>
      </c>
    </row>
    <row r="139" spans="1:10" x14ac:dyDescent="0.25">
      <c r="A139" s="216" t="s">
        <v>819</v>
      </c>
      <c r="B139" s="122" t="s">
        <v>285</v>
      </c>
      <c r="C139" s="122" t="s">
        <v>391</v>
      </c>
      <c r="D139" s="122" t="s">
        <v>256</v>
      </c>
      <c r="E139" s="215">
        <v>36269</v>
      </c>
      <c r="F139" s="122" t="str">
        <f t="shared" si="12"/>
        <v>April</v>
      </c>
      <c r="G139" s="122">
        <f t="shared" ca="1" si="13"/>
        <v>17</v>
      </c>
      <c r="H139" s="122" t="s">
        <v>283</v>
      </c>
      <c r="I139" s="214">
        <v>61330</v>
      </c>
      <c r="J139" s="213">
        <v>1</v>
      </c>
    </row>
    <row r="140" spans="1:10" x14ac:dyDescent="0.25">
      <c r="A140" s="216" t="s">
        <v>378</v>
      </c>
      <c r="B140" s="122" t="s">
        <v>271</v>
      </c>
      <c r="C140" s="122" t="s">
        <v>391</v>
      </c>
      <c r="D140" s="122" t="s">
        <v>256</v>
      </c>
      <c r="E140" s="215">
        <v>37113</v>
      </c>
      <c r="F140" s="122" t="str">
        <f t="shared" si="12"/>
        <v>August</v>
      </c>
      <c r="G140" s="122">
        <f t="shared" ca="1" si="13"/>
        <v>15</v>
      </c>
      <c r="H140" s="122" t="s">
        <v>267</v>
      </c>
      <c r="I140" s="214">
        <v>61150</v>
      </c>
      <c r="J140" s="213">
        <v>4</v>
      </c>
    </row>
    <row r="141" spans="1:10" x14ac:dyDescent="0.25">
      <c r="A141" s="217" t="s">
        <v>411</v>
      </c>
    </row>
    <row r="142" spans="1:10" x14ac:dyDescent="0.25">
      <c r="A142" s="216" t="s">
        <v>1060</v>
      </c>
      <c r="B142" s="122" t="s">
        <v>285</v>
      </c>
      <c r="C142" s="122" t="s">
        <v>411</v>
      </c>
      <c r="D142" s="122" t="s">
        <v>256</v>
      </c>
      <c r="E142" s="215">
        <v>38587</v>
      </c>
      <c r="F142" s="122" t="str">
        <f>CHOOSE(MONTH(E142),"January","February","March","April","May","June","July","August","September","October","November","December")</f>
        <v>August</v>
      </c>
      <c r="G142" s="122">
        <f ca="1">DATEDIF(E142,TODAY(),"Y")</f>
        <v>11</v>
      </c>
      <c r="H142" s="122" t="s">
        <v>257</v>
      </c>
      <c r="I142" s="214">
        <v>47350</v>
      </c>
      <c r="J142" s="213">
        <v>5</v>
      </c>
    </row>
    <row r="143" spans="1:10" x14ac:dyDescent="0.25">
      <c r="A143" s="216" t="s">
        <v>474</v>
      </c>
      <c r="B143" s="122" t="s">
        <v>245</v>
      </c>
      <c r="C143" s="122" t="s">
        <v>411</v>
      </c>
      <c r="D143" s="122" t="s">
        <v>256</v>
      </c>
      <c r="E143" s="215">
        <v>40400</v>
      </c>
      <c r="F143" s="122" t="str">
        <f>CHOOSE(MONTH(E143),"January","February","March","April","May","June","July","August","September","October","November","December")</f>
        <v>August</v>
      </c>
      <c r="G143" s="122">
        <f ca="1">DATEDIF(E143,TODAY(),"Y")</f>
        <v>6</v>
      </c>
      <c r="H143" s="122" t="s">
        <v>283</v>
      </c>
      <c r="I143" s="214">
        <v>79150</v>
      </c>
      <c r="J143" s="213">
        <v>2</v>
      </c>
    </row>
    <row r="144" spans="1:10" x14ac:dyDescent="0.25">
      <c r="A144" s="216" t="s">
        <v>292</v>
      </c>
      <c r="B144" s="122" t="s">
        <v>245</v>
      </c>
      <c r="C144" s="122" t="s">
        <v>411</v>
      </c>
      <c r="D144" s="122" t="s">
        <v>256</v>
      </c>
      <c r="E144" s="215">
        <v>36569</v>
      </c>
      <c r="F144" s="122" t="str">
        <f>CHOOSE(MONTH(E144),"January","February","March","April","May","June","July","August","September","October","November","December")</f>
        <v>February</v>
      </c>
      <c r="G144" s="122">
        <f ca="1">DATEDIF(E144,TODAY(),"Y")</f>
        <v>16</v>
      </c>
      <c r="H144" s="122" t="s">
        <v>283</v>
      </c>
      <c r="I144" s="214">
        <v>75060</v>
      </c>
      <c r="J144" s="213">
        <v>5</v>
      </c>
    </row>
    <row r="145" spans="1:10" x14ac:dyDescent="0.25">
      <c r="A145" s="216" t="s">
        <v>394</v>
      </c>
      <c r="B145" s="122" t="s">
        <v>271</v>
      </c>
      <c r="C145" s="122" t="s">
        <v>411</v>
      </c>
      <c r="D145" s="122" t="s">
        <v>256</v>
      </c>
      <c r="E145" s="215">
        <v>35329</v>
      </c>
      <c r="F145" s="122" t="str">
        <f>CHOOSE(MONTH(E145),"January","February","March","April","May","June","July","August","September","October","November","December")</f>
        <v>September</v>
      </c>
      <c r="G145" s="122">
        <f ca="1">DATEDIF(E145,TODAY(),"Y")</f>
        <v>20</v>
      </c>
      <c r="H145" s="122" t="s">
        <v>257</v>
      </c>
      <c r="I145" s="214">
        <v>66740</v>
      </c>
      <c r="J145" s="213">
        <v>2</v>
      </c>
    </row>
    <row r="146" spans="1:10" x14ac:dyDescent="0.25">
      <c r="A146" s="216" t="s">
        <v>480</v>
      </c>
      <c r="B146" s="122" t="s">
        <v>285</v>
      </c>
      <c r="C146" s="122" t="s">
        <v>411</v>
      </c>
      <c r="D146" s="122" t="s">
        <v>247</v>
      </c>
      <c r="E146" s="215">
        <v>38527</v>
      </c>
      <c r="F146" s="122" t="str">
        <f>CHOOSE(MONTH(E146),"January","February","March","April","May","June","July","August","September","October","November","December")</f>
        <v>June</v>
      </c>
      <c r="G146" s="122">
        <f ca="1">DATEDIF(E146,TODAY(),"Y")</f>
        <v>11</v>
      </c>
      <c r="I146" s="214">
        <v>60060</v>
      </c>
      <c r="J146" s="213">
        <v>2</v>
      </c>
    </row>
    <row r="147" spans="1:10" x14ac:dyDescent="0.25">
      <c r="A147" s="217" t="s">
        <v>417</v>
      </c>
    </row>
    <row r="148" spans="1:10" x14ac:dyDescent="0.25">
      <c r="A148" s="216" t="s">
        <v>349</v>
      </c>
      <c r="B148" s="122" t="s">
        <v>285</v>
      </c>
      <c r="C148" s="122" t="s">
        <v>417</v>
      </c>
      <c r="D148" s="122" t="s">
        <v>261</v>
      </c>
      <c r="E148" s="215">
        <v>34755</v>
      </c>
      <c r="F148" s="122" t="str">
        <f t="shared" ref="F148:F185" si="14">CHOOSE(MONTH(E148),"January","February","March","April","May","June","July","August","September","October","November","December")</f>
        <v>February</v>
      </c>
      <c r="G148" s="122">
        <f t="shared" ref="G148:G185" ca="1" si="15">DATEDIF(E148,TODAY(),"Y")</f>
        <v>21</v>
      </c>
      <c r="H148" s="122" t="s">
        <v>267</v>
      </c>
      <c r="I148" s="214">
        <v>15005</v>
      </c>
      <c r="J148" s="213">
        <v>4</v>
      </c>
    </row>
    <row r="149" spans="1:10" x14ac:dyDescent="0.25">
      <c r="A149" s="216" t="s">
        <v>677</v>
      </c>
      <c r="B149" s="122" t="s">
        <v>285</v>
      </c>
      <c r="C149" s="122" t="s">
        <v>417</v>
      </c>
      <c r="D149" s="122" t="s">
        <v>256</v>
      </c>
      <c r="E149" s="215">
        <v>38753</v>
      </c>
      <c r="F149" s="122" t="str">
        <f t="shared" si="14"/>
        <v>February</v>
      </c>
      <c r="G149" s="122">
        <f t="shared" ca="1" si="15"/>
        <v>10</v>
      </c>
      <c r="H149" s="122" t="s">
        <v>257</v>
      </c>
      <c r="I149" s="214">
        <v>22410</v>
      </c>
      <c r="J149" s="213">
        <v>4</v>
      </c>
    </row>
    <row r="150" spans="1:10" x14ac:dyDescent="0.25">
      <c r="A150" s="216" t="s">
        <v>397</v>
      </c>
      <c r="B150" s="122" t="s">
        <v>285</v>
      </c>
      <c r="C150" s="122" t="s">
        <v>417</v>
      </c>
      <c r="D150" s="122" t="s">
        <v>247</v>
      </c>
      <c r="E150" s="215">
        <v>37641</v>
      </c>
      <c r="F150" s="122" t="str">
        <f t="shared" si="14"/>
        <v>January</v>
      </c>
      <c r="G150" s="122">
        <f t="shared" ca="1" si="15"/>
        <v>13</v>
      </c>
      <c r="I150" s="214">
        <v>31970</v>
      </c>
      <c r="J150" s="213">
        <v>5</v>
      </c>
    </row>
    <row r="151" spans="1:10" x14ac:dyDescent="0.25">
      <c r="A151" s="216" t="s">
        <v>840</v>
      </c>
      <c r="B151" s="122" t="s">
        <v>251</v>
      </c>
      <c r="C151" s="122" t="s">
        <v>417</v>
      </c>
      <c r="D151" s="122" t="s">
        <v>256</v>
      </c>
      <c r="E151" s="215">
        <v>36082</v>
      </c>
      <c r="F151" s="122" t="str">
        <f t="shared" si="14"/>
        <v>October</v>
      </c>
      <c r="G151" s="122">
        <f t="shared" ca="1" si="15"/>
        <v>18</v>
      </c>
      <c r="H151" s="122" t="s">
        <v>283</v>
      </c>
      <c r="I151" s="214">
        <v>82400</v>
      </c>
      <c r="J151" s="213">
        <v>2</v>
      </c>
    </row>
    <row r="152" spans="1:10" x14ac:dyDescent="0.25">
      <c r="A152" s="216" t="s">
        <v>472</v>
      </c>
      <c r="B152" s="122" t="s">
        <v>271</v>
      </c>
      <c r="C152" s="122" t="s">
        <v>417</v>
      </c>
      <c r="D152" s="122" t="s">
        <v>256</v>
      </c>
      <c r="E152" s="215">
        <v>40399</v>
      </c>
      <c r="F152" s="122" t="str">
        <f t="shared" si="14"/>
        <v>August</v>
      </c>
      <c r="G152" s="122">
        <f t="shared" ca="1" si="15"/>
        <v>6</v>
      </c>
      <c r="H152" s="122" t="s">
        <v>267</v>
      </c>
      <c r="I152" s="214">
        <v>32640</v>
      </c>
      <c r="J152" s="213">
        <v>4</v>
      </c>
    </row>
    <row r="153" spans="1:10" x14ac:dyDescent="0.25">
      <c r="A153" s="216" t="s">
        <v>828</v>
      </c>
      <c r="B153" s="122" t="s">
        <v>271</v>
      </c>
      <c r="C153" s="122" t="s">
        <v>417</v>
      </c>
      <c r="D153" s="122" t="s">
        <v>247</v>
      </c>
      <c r="E153" s="215">
        <v>33949</v>
      </c>
      <c r="F153" s="122" t="str">
        <f t="shared" si="14"/>
        <v>December</v>
      </c>
      <c r="G153" s="122">
        <f t="shared" ca="1" si="15"/>
        <v>23</v>
      </c>
      <c r="I153" s="214">
        <v>81070</v>
      </c>
      <c r="J153" s="213">
        <v>5</v>
      </c>
    </row>
    <row r="154" spans="1:10" x14ac:dyDescent="0.25">
      <c r="A154" s="216" t="s">
        <v>923</v>
      </c>
      <c r="B154" s="122" t="s">
        <v>285</v>
      </c>
      <c r="C154" s="122" t="s">
        <v>417</v>
      </c>
      <c r="D154" s="122" t="s">
        <v>256</v>
      </c>
      <c r="E154" s="215">
        <v>34086</v>
      </c>
      <c r="F154" s="122" t="str">
        <f t="shared" si="14"/>
        <v>April</v>
      </c>
      <c r="G154" s="122">
        <f t="shared" ca="1" si="15"/>
        <v>23</v>
      </c>
      <c r="H154" s="122" t="s">
        <v>257</v>
      </c>
      <c r="I154" s="214">
        <v>31840</v>
      </c>
      <c r="J154" s="213">
        <v>1</v>
      </c>
    </row>
    <row r="155" spans="1:10" x14ac:dyDescent="0.25">
      <c r="A155" s="216" t="s">
        <v>661</v>
      </c>
      <c r="B155" s="122" t="s">
        <v>271</v>
      </c>
      <c r="C155" s="122" t="s">
        <v>417</v>
      </c>
      <c r="D155" s="122" t="s">
        <v>247</v>
      </c>
      <c r="E155" s="215">
        <v>40236</v>
      </c>
      <c r="F155" s="122" t="str">
        <f t="shared" si="14"/>
        <v>February</v>
      </c>
      <c r="G155" s="122">
        <f t="shared" ca="1" si="15"/>
        <v>6</v>
      </c>
      <c r="I155" s="214">
        <v>45830</v>
      </c>
      <c r="J155" s="213">
        <v>4</v>
      </c>
    </row>
    <row r="156" spans="1:10" x14ac:dyDescent="0.25">
      <c r="A156" s="216" t="s">
        <v>900</v>
      </c>
      <c r="B156" s="122" t="s">
        <v>271</v>
      </c>
      <c r="C156" s="122" t="s">
        <v>417</v>
      </c>
      <c r="D156" s="122" t="s">
        <v>256</v>
      </c>
      <c r="E156" s="215">
        <v>33117</v>
      </c>
      <c r="F156" s="122" t="str">
        <f t="shared" si="14"/>
        <v>September</v>
      </c>
      <c r="G156" s="122">
        <f t="shared" ca="1" si="15"/>
        <v>26</v>
      </c>
      <c r="H156" s="122" t="s">
        <v>267</v>
      </c>
      <c r="I156" s="214">
        <v>35360</v>
      </c>
      <c r="J156" s="213">
        <v>5</v>
      </c>
    </row>
    <row r="157" spans="1:10" x14ac:dyDescent="0.25">
      <c r="A157" s="216" t="s">
        <v>533</v>
      </c>
      <c r="B157" s="122" t="s">
        <v>245</v>
      </c>
      <c r="C157" s="122" t="s">
        <v>417</v>
      </c>
      <c r="D157" s="122" t="s">
        <v>261</v>
      </c>
      <c r="E157" s="215">
        <v>33709</v>
      </c>
      <c r="F157" s="122" t="str">
        <f t="shared" si="14"/>
        <v>April</v>
      </c>
      <c r="G157" s="122">
        <f t="shared" ca="1" si="15"/>
        <v>24</v>
      </c>
      <c r="H157" s="122" t="s">
        <v>257</v>
      </c>
      <c r="I157" s="214">
        <v>34110</v>
      </c>
      <c r="J157" s="213">
        <v>4</v>
      </c>
    </row>
    <row r="158" spans="1:10" x14ac:dyDescent="0.25">
      <c r="A158" s="216" t="s">
        <v>321</v>
      </c>
      <c r="B158" s="122" t="s">
        <v>271</v>
      </c>
      <c r="C158" s="122" t="s">
        <v>417</v>
      </c>
      <c r="D158" s="122" t="s">
        <v>247</v>
      </c>
      <c r="E158" s="215">
        <v>35939</v>
      </c>
      <c r="F158" s="122" t="str">
        <f t="shared" si="14"/>
        <v>May</v>
      </c>
      <c r="G158" s="122">
        <f t="shared" ca="1" si="15"/>
        <v>18</v>
      </c>
      <c r="I158" s="214">
        <v>25120</v>
      </c>
      <c r="J158" s="213">
        <v>5</v>
      </c>
    </row>
    <row r="159" spans="1:10" x14ac:dyDescent="0.25">
      <c r="A159" s="216" t="s">
        <v>908</v>
      </c>
      <c r="B159" s="122" t="s">
        <v>280</v>
      </c>
      <c r="C159" s="122" t="s">
        <v>417</v>
      </c>
      <c r="D159" s="122" t="s">
        <v>256</v>
      </c>
      <c r="E159" s="215">
        <v>36414</v>
      </c>
      <c r="F159" s="122" t="str">
        <f t="shared" si="14"/>
        <v>September</v>
      </c>
      <c r="G159" s="122">
        <f t="shared" ca="1" si="15"/>
        <v>17</v>
      </c>
      <c r="H159" s="122" t="s">
        <v>276</v>
      </c>
      <c r="I159" s="214">
        <v>39680</v>
      </c>
      <c r="J159" s="213">
        <v>5</v>
      </c>
    </row>
    <row r="160" spans="1:10" x14ac:dyDescent="0.25">
      <c r="A160" s="216" t="s">
        <v>439</v>
      </c>
      <c r="B160" s="122" t="s">
        <v>280</v>
      </c>
      <c r="C160" s="122" t="s">
        <v>417</v>
      </c>
      <c r="D160" s="122" t="s">
        <v>252</v>
      </c>
      <c r="E160" s="215">
        <v>36263</v>
      </c>
      <c r="F160" s="122" t="str">
        <f t="shared" si="14"/>
        <v>April</v>
      </c>
      <c r="G160" s="122">
        <f t="shared" ca="1" si="15"/>
        <v>17</v>
      </c>
      <c r="I160" s="214">
        <v>38768</v>
      </c>
      <c r="J160" s="213">
        <v>4</v>
      </c>
    </row>
    <row r="161" spans="1:10" x14ac:dyDescent="0.25">
      <c r="A161" s="216" t="s">
        <v>831</v>
      </c>
      <c r="B161" s="122" t="s">
        <v>285</v>
      </c>
      <c r="C161" s="122" t="s">
        <v>417</v>
      </c>
      <c r="D161" s="122" t="s">
        <v>247</v>
      </c>
      <c r="E161" s="215">
        <v>33424</v>
      </c>
      <c r="F161" s="122" t="str">
        <f t="shared" si="14"/>
        <v>July</v>
      </c>
      <c r="G161" s="122">
        <f t="shared" ca="1" si="15"/>
        <v>25</v>
      </c>
      <c r="I161" s="214">
        <v>22320</v>
      </c>
      <c r="J161" s="213">
        <v>2</v>
      </c>
    </row>
    <row r="162" spans="1:10" x14ac:dyDescent="0.25">
      <c r="A162" s="216" t="s">
        <v>602</v>
      </c>
      <c r="B162" s="122" t="s">
        <v>271</v>
      </c>
      <c r="C162" s="122" t="s">
        <v>417</v>
      </c>
      <c r="D162" s="122" t="s">
        <v>256</v>
      </c>
      <c r="E162" s="215">
        <v>34213</v>
      </c>
      <c r="F162" s="122" t="str">
        <f t="shared" si="14"/>
        <v>September</v>
      </c>
      <c r="G162" s="122">
        <f t="shared" ca="1" si="15"/>
        <v>23</v>
      </c>
      <c r="H162" s="122" t="s">
        <v>257</v>
      </c>
      <c r="I162" s="214">
        <v>72900</v>
      </c>
      <c r="J162" s="213">
        <v>3</v>
      </c>
    </row>
    <row r="163" spans="1:10" x14ac:dyDescent="0.25">
      <c r="A163" s="216" t="s">
        <v>659</v>
      </c>
      <c r="B163" s="122" t="s">
        <v>245</v>
      </c>
      <c r="C163" s="122" t="s">
        <v>417</v>
      </c>
      <c r="D163" s="122" t="s">
        <v>256</v>
      </c>
      <c r="E163" s="215">
        <v>36643</v>
      </c>
      <c r="F163" s="122" t="str">
        <f t="shared" si="14"/>
        <v>April</v>
      </c>
      <c r="G163" s="122">
        <f t="shared" ca="1" si="15"/>
        <v>16</v>
      </c>
      <c r="H163" s="122" t="s">
        <v>283</v>
      </c>
      <c r="I163" s="214">
        <v>71380</v>
      </c>
      <c r="J163" s="213">
        <v>2</v>
      </c>
    </row>
    <row r="164" spans="1:10" x14ac:dyDescent="0.25">
      <c r="A164" s="216" t="s">
        <v>679</v>
      </c>
      <c r="B164" s="122" t="s">
        <v>251</v>
      </c>
      <c r="C164" s="122" t="s">
        <v>417</v>
      </c>
      <c r="D164" s="122" t="s">
        <v>256</v>
      </c>
      <c r="E164" s="215">
        <v>35989</v>
      </c>
      <c r="F164" s="122" t="str">
        <f t="shared" si="14"/>
        <v>July</v>
      </c>
      <c r="G164" s="122">
        <f t="shared" ca="1" si="15"/>
        <v>18</v>
      </c>
      <c r="H164" s="122" t="s">
        <v>262</v>
      </c>
      <c r="I164" s="214">
        <v>71010</v>
      </c>
      <c r="J164" s="213">
        <v>5</v>
      </c>
    </row>
    <row r="165" spans="1:10" x14ac:dyDescent="0.25">
      <c r="A165" s="216" t="s">
        <v>422</v>
      </c>
      <c r="B165" s="122" t="s">
        <v>271</v>
      </c>
      <c r="C165" s="122" t="s">
        <v>417</v>
      </c>
      <c r="D165" s="122" t="s">
        <v>256</v>
      </c>
      <c r="E165" s="215">
        <v>37288</v>
      </c>
      <c r="F165" s="122" t="str">
        <f t="shared" si="14"/>
        <v>February</v>
      </c>
      <c r="G165" s="122">
        <f t="shared" ca="1" si="15"/>
        <v>14</v>
      </c>
      <c r="H165" s="122" t="s">
        <v>257</v>
      </c>
      <c r="I165" s="214">
        <v>42480</v>
      </c>
      <c r="J165" s="213">
        <v>3</v>
      </c>
    </row>
    <row r="166" spans="1:10" x14ac:dyDescent="0.25">
      <c r="A166" s="216" t="s">
        <v>528</v>
      </c>
      <c r="B166" s="122" t="s">
        <v>285</v>
      </c>
      <c r="C166" s="122" t="s">
        <v>417</v>
      </c>
      <c r="D166" s="122" t="s">
        <v>256</v>
      </c>
      <c r="E166" s="215">
        <v>38135</v>
      </c>
      <c r="F166" s="122" t="str">
        <f t="shared" si="14"/>
        <v>May</v>
      </c>
      <c r="G166" s="122">
        <f t="shared" ca="1" si="15"/>
        <v>12</v>
      </c>
      <c r="H166" s="122" t="s">
        <v>267</v>
      </c>
      <c r="I166" s="214">
        <v>65560</v>
      </c>
      <c r="J166" s="213">
        <v>1</v>
      </c>
    </row>
    <row r="167" spans="1:10" x14ac:dyDescent="0.25">
      <c r="A167" s="216" t="s">
        <v>558</v>
      </c>
      <c r="B167" s="122" t="s">
        <v>285</v>
      </c>
      <c r="C167" s="122" t="s">
        <v>417</v>
      </c>
      <c r="D167" s="122" t="s">
        <v>261</v>
      </c>
      <c r="E167" s="215">
        <v>35070</v>
      </c>
      <c r="F167" s="122" t="str">
        <f t="shared" si="14"/>
        <v>January</v>
      </c>
      <c r="G167" s="122">
        <f t="shared" ca="1" si="15"/>
        <v>20</v>
      </c>
      <c r="H167" s="122" t="s">
        <v>276</v>
      </c>
      <c r="I167" s="214">
        <v>21220</v>
      </c>
      <c r="J167" s="213">
        <v>3</v>
      </c>
    </row>
    <row r="168" spans="1:10" x14ac:dyDescent="0.25">
      <c r="A168" s="216" t="s">
        <v>583</v>
      </c>
      <c r="B168" s="122" t="s">
        <v>280</v>
      </c>
      <c r="C168" s="122" t="s">
        <v>417</v>
      </c>
      <c r="D168" s="122" t="s">
        <v>256</v>
      </c>
      <c r="E168" s="215">
        <v>33872</v>
      </c>
      <c r="F168" s="122" t="str">
        <f t="shared" si="14"/>
        <v>September</v>
      </c>
      <c r="G168" s="122">
        <f t="shared" ca="1" si="15"/>
        <v>24</v>
      </c>
      <c r="H168" s="122" t="s">
        <v>257</v>
      </c>
      <c r="I168" s="214">
        <v>64510</v>
      </c>
      <c r="J168" s="213">
        <v>3</v>
      </c>
    </row>
    <row r="169" spans="1:10" x14ac:dyDescent="0.25">
      <c r="A169" s="216" t="s">
        <v>277</v>
      </c>
      <c r="B169" s="122" t="s">
        <v>285</v>
      </c>
      <c r="C169" s="122" t="s">
        <v>417</v>
      </c>
      <c r="D169" s="122" t="s">
        <v>256</v>
      </c>
      <c r="E169" s="215">
        <v>35501</v>
      </c>
      <c r="F169" s="122" t="str">
        <f t="shared" si="14"/>
        <v>March</v>
      </c>
      <c r="G169" s="122">
        <f t="shared" ca="1" si="15"/>
        <v>19</v>
      </c>
      <c r="H169" s="122" t="s">
        <v>283</v>
      </c>
      <c r="I169" s="214">
        <v>37750</v>
      </c>
      <c r="J169" s="213">
        <v>5</v>
      </c>
    </row>
    <row r="170" spans="1:10" x14ac:dyDescent="0.25">
      <c r="A170" s="216" t="s">
        <v>516</v>
      </c>
      <c r="B170" s="122" t="s">
        <v>245</v>
      </c>
      <c r="C170" s="122" t="s">
        <v>417</v>
      </c>
      <c r="D170" s="122" t="s">
        <v>247</v>
      </c>
      <c r="E170" s="215">
        <v>34161</v>
      </c>
      <c r="F170" s="122" t="str">
        <f t="shared" si="14"/>
        <v>July</v>
      </c>
      <c r="G170" s="122">
        <f t="shared" ca="1" si="15"/>
        <v>23</v>
      </c>
      <c r="I170" s="214">
        <v>64090</v>
      </c>
      <c r="J170" s="213">
        <v>2</v>
      </c>
    </row>
    <row r="171" spans="1:10" x14ac:dyDescent="0.25">
      <c r="A171" s="216" t="s">
        <v>969</v>
      </c>
      <c r="B171" s="122" t="s">
        <v>285</v>
      </c>
      <c r="C171" s="122" t="s">
        <v>417</v>
      </c>
      <c r="D171" s="122" t="s">
        <v>256</v>
      </c>
      <c r="E171" s="215">
        <v>35253</v>
      </c>
      <c r="F171" s="122" t="str">
        <f t="shared" si="14"/>
        <v>July</v>
      </c>
      <c r="G171" s="122">
        <f t="shared" ca="1" si="15"/>
        <v>20</v>
      </c>
      <c r="H171" s="122" t="s">
        <v>257</v>
      </c>
      <c r="I171" s="214">
        <v>63780</v>
      </c>
      <c r="J171" s="213">
        <v>5</v>
      </c>
    </row>
    <row r="172" spans="1:10" x14ac:dyDescent="0.25">
      <c r="A172" s="216" t="s">
        <v>543</v>
      </c>
      <c r="B172" s="122" t="s">
        <v>285</v>
      </c>
      <c r="C172" s="122" t="s">
        <v>417</v>
      </c>
      <c r="D172" s="122" t="s">
        <v>261</v>
      </c>
      <c r="E172" s="215">
        <v>35186</v>
      </c>
      <c r="F172" s="122" t="str">
        <f t="shared" si="14"/>
        <v>May</v>
      </c>
      <c r="G172" s="122">
        <f t="shared" ca="1" si="15"/>
        <v>20</v>
      </c>
      <c r="H172" s="122" t="s">
        <v>276</v>
      </c>
      <c r="I172" s="214">
        <v>32835</v>
      </c>
      <c r="J172" s="213">
        <v>2</v>
      </c>
    </row>
    <row r="173" spans="1:10" x14ac:dyDescent="0.25">
      <c r="A173" s="216" t="s">
        <v>1027</v>
      </c>
      <c r="B173" s="122" t="s">
        <v>245</v>
      </c>
      <c r="C173" s="122" t="s">
        <v>417</v>
      </c>
      <c r="D173" s="122" t="s">
        <v>247</v>
      </c>
      <c r="E173" s="215">
        <v>34761</v>
      </c>
      <c r="F173" s="122" t="str">
        <f t="shared" si="14"/>
        <v>March</v>
      </c>
      <c r="G173" s="122">
        <f t="shared" ca="1" si="15"/>
        <v>21</v>
      </c>
      <c r="I173" s="214">
        <v>45040</v>
      </c>
      <c r="J173" s="213">
        <v>5</v>
      </c>
    </row>
    <row r="174" spans="1:10" x14ac:dyDescent="0.25">
      <c r="A174" s="216" t="s">
        <v>784</v>
      </c>
      <c r="B174" s="122" t="s">
        <v>266</v>
      </c>
      <c r="C174" s="122" t="s">
        <v>417</v>
      </c>
      <c r="D174" s="122" t="s">
        <v>247</v>
      </c>
      <c r="E174" s="215">
        <v>40259</v>
      </c>
      <c r="F174" s="122" t="str">
        <f t="shared" si="14"/>
        <v>March</v>
      </c>
      <c r="G174" s="122">
        <f t="shared" ca="1" si="15"/>
        <v>6</v>
      </c>
      <c r="I174" s="214">
        <v>45710</v>
      </c>
      <c r="J174" s="213">
        <v>3</v>
      </c>
    </row>
    <row r="175" spans="1:10" x14ac:dyDescent="0.25">
      <c r="A175" s="216" t="s">
        <v>822</v>
      </c>
      <c r="B175" s="122" t="s">
        <v>271</v>
      </c>
      <c r="C175" s="122" t="s">
        <v>417</v>
      </c>
      <c r="D175" s="122" t="s">
        <v>261</v>
      </c>
      <c r="E175" s="215">
        <v>39768</v>
      </c>
      <c r="F175" s="122" t="str">
        <f t="shared" si="14"/>
        <v>November</v>
      </c>
      <c r="G175" s="122">
        <f t="shared" ca="1" si="15"/>
        <v>8</v>
      </c>
      <c r="H175" s="122" t="s">
        <v>257</v>
      </c>
      <c r="I175" s="214">
        <v>39515</v>
      </c>
      <c r="J175" s="213">
        <v>5</v>
      </c>
    </row>
    <row r="176" spans="1:10" x14ac:dyDescent="0.25">
      <c r="A176" s="216" t="s">
        <v>498</v>
      </c>
      <c r="B176" s="122" t="s">
        <v>271</v>
      </c>
      <c r="C176" s="122" t="s">
        <v>417</v>
      </c>
      <c r="D176" s="122" t="s">
        <v>256</v>
      </c>
      <c r="E176" s="215">
        <v>33405</v>
      </c>
      <c r="F176" s="122" t="str">
        <f t="shared" si="14"/>
        <v>June</v>
      </c>
      <c r="G176" s="122">
        <f t="shared" ca="1" si="15"/>
        <v>25</v>
      </c>
      <c r="H176" s="122" t="s">
        <v>283</v>
      </c>
      <c r="I176" s="214">
        <v>32140</v>
      </c>
      <c r="J176" s="213">
        <v>2</v>
      </c>
    </row>
    <row r="177" spans="1:10" x14ac:dyDescent="0.25">
      <c r="A177" s="216" t="s">
        <v>363</v>
      </c>
      <c r="B177" s="122" t="s">
        <v>280</v>
      </c>
      <c r="C177" s="122" t="s">
        <v>417</v>
      </c>
      <c r="D177" s="122" t="s">
        <v>256</v>
      </c>
      <c r="E177" s="215">
        <v>33079</v>
      </c>
      <c r="F177" s="122" t="str">
        <f t="shared" si="14"/>
        <v>July</v>
      </c>
      <c r="G177" s="122">
        <f t="shared" ca="1" si="15"/>
        <v>26</v>
      </c>
      <c r="H177" s="122" t="s">
        <v>276</v>
      </c>
      <c r="I177" s="214">
        <v>32360</v>
      </c>
      <c r="J177" s="213">
        <v>4</v>
      </c>
    </row>
    <row r="178" spans="1:10" x14ac:dyDescent="0.25">
      <c r="A178" s="216" t="s">
        <v>753</v>
      </c>
      <c r="B178" s="122" t="s">
        <v>271</v>
      </c>
      <c r="C178" s="122" t="s">
        <v>417</v>
      </c>
      <c r="D178" s="122" t="s">
        <v>256</v>
      </c>
      <c r="E178" s="215">
        <v>35084</v>
      </c>
      <c r="F178" s="122" t="str">
        <f t="shared" si="14"/>
        <v>January</v>
      </c>
      <c r="G178" s="122">
        <f t="shared" ca="1" si="15"/>
        <v>20</v>
      </c>
      <c r="H178" s="122" t="s">
        <v>276</v>
      </c>
      <c r="I178" s="214">
        <v>49260</v>
      </c>
      <c r="J178" s="213">
        <v>3</v>
      </c>
    </row>
    <row r="179" spans="1:10" x14ac:dyDescent="0.25">
      <c r="A179" s="216" t="s">
        <v>265</v>
      </c>
      <c r="B179" s="122" t="s">
        <v>271</v>
      </c>
      <c r="C179" s="122" t="s">
        <v>417</v>
      </c>
      <c r="D179" s="122" t="s">
        <v>247</v>
      </c>
      <c r="E179" s="215">
        <v>34771</v>
      </c>
      <c r="F179" s="122" t="str">
        <f t="shared" si="14"/>
        <v>March</v>
      </c>
      <c r="G179" s="122">
        <f t="shared" ca="1" si="15"/>
        <v>21</v>
      </c>
      <c r="I179" s="214">
        <v>26360</v>
      </c>
      <c r="J179" s="213">
        <v>4</v>
      </c>
    </row>
    <row r="180" spans="1:10" x14ac:dyDescent="0.25">
      <c r="A180" s="216" t="s">
        <v>668</v>
      </c>
      <c r="B180" s="122" t="s">
        <v>251</v>
      </c>
      <c r="C180" s="122" t="s">
        <v>417</v>
      </c>
      <c r="D180" s="122" t="s">
        <v>247</v>
      </c>
      <c r="E180" s="215">
        <v>40054</v>
      </c>
      <c r="F180" s="122" t="str">
        <f t="shared" si="14"/>
        <v>August</v>
      </c>
      <c r="G180" s="122">
        <f t="shared" ca="1" si="15"/>
        <v>7</v>
      </c>
      <c r="I180" s="214">
        <v>56920</v>
      </c>
      <c r="J180" s="213">
        <v>4</v>
      </c>
    </row>
    <row r="181" spans="1:10" x14ac:dyDescent="0.25">
      <c r="A181" s="216" t="s">
        <v>997</v>
      </c>
      <c r="B181" s="122" t="s">
        <v>271</v>
      </c>
      <c r="C181" s="122" t="s">
        <v>417</v>
      </c>
      <c r="D181" s="122" t="s">
        <v>256</v>
      </c>
      <c r="E181" s="215">
        <v>35605</v>
      </c>
      <c r="F181" s="122" t="str">
        <f t="shared" si="14"/>
        <v>June</v>
      </c>
      <c r="G181" s="122">
        <f t="shared" ca="1" si="15"/>
        <v>19</v>
      </c>
      <c r="H181" s="122" t="s">
        <v>283</v>
      </c>
      <c r="I181" s="214">
        <v>56870</v>
      </c>
      <c r="J181" s="213">
        <v>1</v>
      </c>
    </row>
    <row r="182" spans="1:10" x14ac:dyDescent="0.25">
      <c r="A182" s="216" t="s">
        <v>506</v>
      </c>
      <c r="B182" s="122" t="s">
        <v>285</v>
      </c>
      <c r="C182" s="122" t="s">
        <v>417</v>
      </c>
      <c r="D182" s="122" t="s">
        <v>256</v>
      </c>
      <c r="E182" s="215">
        <v>40470</v>
      </c>
      <c r="F182" s="122" t="str">
        <f t="shared" si="14"/>
        <v>October</v>
      </c>
      <c r="G182" s="122">
        <f t="shared" ca="1" si="15"/>
        <v>6</v>
      </c>
      <c r="H182" s="122" t="s">
        <v>283</v>
      </c>
      <c r="I182" s="214">
        <v>42620</v>
      </c>
      <c r="J182" s="213">
        <v>3</v>
      </c>
    </row>
    <row r="183" spans="1:10" x14ac:dyDescent="0.25">
      <c r="A183" s="216" t="s">
        <v>544</v>
      </c>
      <c r="B183" s="122" t="s">
        <v>251</v>
      </c>
      <c r="C183" s="122" t="s">
        <v>417</v>
      </c>
      <c r="D183" s="122" t="s">
        <v>256</v>
      </c>
      <c r="E183" s="215">
        <v>33923</v>
      </c>
      <c r="F183" s="122" t="str">
        <f t="shared" si="14"/>
        <v>November</v>
      </c>
      <c r="G183" s="122">
        <f t="shared" ca="1" si="15"/>
        <v>24</v>
      </c>
      <c r="H183" s="122" t="s">
        <v>283</v>
      </c>
      <c r="I183" s="214">
        <v>46340</v>
      </c>
      <c r="J183" s="213">
        <v>5</v>
      </c>
    </row>
    <row r="184" spans="1:10" x14ac:dyDescent="0.25">
      <c r="A184" s="216" t="s">
        <v>1024</v>
      </c>
      <c r="B184" s="122" t="s">
        <v>285</v>
      </c>
      <c r="C184" s="122" t="s">
        <v>417</v>
      </c>
      <c r="D184" s="122" t="s">
        <v>247</v>
      </c>
      <c r="E184" s="215">
        <v>34912</v>
      </c>
      <c r="F184" s="122" t="str">
        <f t="shared" si="14"/>
        <v>August</v>
      </c>
      <c r="G184" s="122">
        <f t="shared" ca="1" si="15"/>
        <v>21</v>
      </c>
      <c r="I184" s="214">
        <v>40560</v>
      </c>
      <c r="J184" s="213">
        <v>5</v>
      </c>
    </row>
    <row r="185" spans="1:10" x14ac:dyDescent="0.25">
      <c r="A185" s="216" t="s">
        <v>490</v>
      </c>
      <c r="B185" s="122" t="s">
        <v>271</v>
      </c>
      <c r="C185" s="122" t="s">
        <v>417</v>
      </c>
      <c r="D185" s="122" t="s">
        <v>252</v>
      </c>
      <c r="E185" s="215">
        <v>39893</v>
      </c>
      <c r="F185" s="122" t="str">
        <f t="shared" si="14"/>
        <v>March</v>
      </c>
      <c r="G185" s="122">
        <f t="shared" ca="1" si="15"/>
        <v>7</v>
      </c>
      <c r="I185" s="214">
        <v>15744</v>
      </c>
      <c r="J185" s="213">
        <v>3</v>
      </c>
    </row>
    <row r="186" spans="1:10" x14ac:dyDescent="0.25">
      <c r="A186" s="217" t="s">
        <v>456</v>
      </c>
    </row>
    <row r="187" spans="1:10" x14ac:dyDescent="0.25">
      <c r="A187" s="216" t="s">
        <v>532</v>
      </c>
      <c r="B187" s="122" t="s">
        <v>271</v>
      </c>
      <c r="C187" s="122" t="s">
        <v>456</v>
      </c>
      <c r="D187" s="122" t="s">
        <v>261</v>
      </c>
      <c r="E187" s="215">
        <v>34401</v>
      </c>
      <c r="F187" s="122" t="str">
        <f t="shared" ref="F187:F194" si="16">CHOOSE(MONTH(E187),"January","February","March","April","May","June","July","August","September","October","November","December")</f>
        <v>March</v>
      </c>
      <c r="G187" s="122">
        <f t="shared" ref="G187:G194" ca="1" si="17">DATEDIF(E187,TODAY(),"Y")</f>
        <v>22</v>
      </c>
      <c r="H187" s="122" t="s">
        <v>267</v>
      </c>
      <c r="I187" s="214">
        <v>89780</v>
      </c>
      <c r="J187" s="213">
        <v>4</v>
      </c>
    </row>
    <row r="188" spans="1:10" x14ac:dyDescent="0.25">
      <c r="A188" s="216" t="s">
        <v>495</v>
      </c>
      <c r="B188" s="122" t="s">
        <v>271</v>
      </c>
      <c r="C188" s="122" t="s">
        <v>456</v>
      </c>
      <c r="D188" s="122" t="s">
        <v>256</v>
      </c>
      <c r="E188" s="215">
        <v>33385</v>
      </c>
      <c r="F188" s="122" t="str">
        <f t="shared" si="16"/>
        <v>May</v>
      </c>
      <c r="G188" s="122">
        <f t="shared" ca="1" si="17"/>
        <v>25</v>
      </c>
      <c r="H188" s="122" t="s">
        <v>257</v>
      </c>
      <c r="I188" s="214">
        <v>89140</v>
      </c>
      <c r="J188" s="213">
        <v>1</v>
      </c>
    </row>
    <row r="189" spans="1:10" x14ac:dyDescent="0.25">
      <c r="A189" s="216" t="s">
        <v>671</v>
      </c>
      <c r="B189" s="122" t="s">
        <v>285</v>
      </c>
      <c r="C189" s="122" t="s">
        <v>456</v>
      </c>
      <c r="D189" s="122" t="s">
        <v>252</v>
      </c>
      <c r="E189" s="215">
        <v>37946</v>
      </c>
      <c r="F189" s="122" t="str">
        <f t="shared" si="16"/>
        <v>November</v>
      </c>
      <c r="G189" s="122">
        <f t="shared" ca="1" si="17"/>
        <v>12</v>
      </c>
      <c r="H189" s="122" t="s">
        <v>257</v>
      </c>
      <c r="I189" s="214">
        <v>85130</v>
      </c>
      <c r="J189" s="213">
        <v>5</v>
      </c>
    </row>
    <row r="190" spans="1:10" x14ac:dyDescent="0.25">
      <c r="A190" s="216" t="s">
        <v>412</v>
      </c>
      <c r="B190" s="122" t="s">
        <v>251</v>
      </c>
      <c r="C190" s="122" t="s">
        <v>456</v>
      </c>
      <c r="D190" s="122" t="s">
        <v>247</v>
      </c>
      <c r="E190" s="215">
        <v>40263</v>
      </c>
      <c r="F190" s="122" t="str">
        <f t="shared" si="16"/>
        <v>March</v>
      </c>
      <c r="G190" s="122">
        <f t="shared" ca="1" si="17"/>
        <v>6</v>
      </c>
      <c r="H190" s="122" t="s">
        <v>267</v>
      </c>
      <c r="I190" s="214">
        <v>71190</v>
      </c>
      <c r="J190" s="213">
        <v>4</v>
      </c>
    </row>
    <row r="191" spans="1:10" x14ac:dyDescent="0.25">
      <c r="A191" s="216" t="s">
        <v>860</v>
      </c>
      <c r="B191" s="122" t="s">
        <v>280</v>
      </c>
      <c r="C191" s="122" t="s">
        <v>456</v>
      </c>
      <c r="D191" s="122" t="s">
        <v>256</v>
      </c>
      <c r="E191" s="215">
        <v>37043</v>
      </c>
      <c r="F191" s="122" t="str">
        <f t="shared" si="16"/>
        <v>June</v>
      </c>
      <c r="G191" s="122">
        <f t="shared" ca="1" si="17"/>
        <v>15</v>
      </c>
      <c r="H191" s="122" t="s">
        <v>262</v>
      </c>
      <c r="I191" s="214">
        <v>45150</v>
      </c>
      <c r="J191" s="213">
        <v>1</v>
      </c>
    </row>
    <row r="192" spans="1:10" x14ac:dyDescent="0.25">
      <c r="A192" s="216" t="s">
        <v>698</v>
      </c>
      <c r="B192" s="122" t="s">
        <v>280</v>
      </c>
      <c r="C192" s="122" t="s">
        <v>456</v>
      </c>
      <c r="D192" s="122" t="s">
        <v>247</v>
      </c>
      <c r="E192" s="215">
        <v>36673</v>
      </c>
      <c r="F192" s="122" t="str">
        <f t="shared" si="16"/>
        <v>May</v>
      </c>
      <c r="G192" s="122">
        <f t="shared" ca="1" si="17"/>
        <v>16</v>
      </c>
      <c r="H192" s="122" t="s">
        <v>283</v>
      </c>
      <c r="I192" s="214">
        <v>69410</v>
      </c>
      <c r="J192" s="213">
        <v>4</v>
      </c>
    </row>
    <row r="193" spans="1:10" x14ac:dyDescent="0.25">
      <c r="A193" s="216" t="s">
        <v>511</v>
      </c>
      <c r="B193" s="122" t="s">
        <v>271</v>
      </c>
      <c r="C193" s="122" t="s">
        <v>456</v>
      </c>
      <c r="D193" s="122" t="s">
        <v>252</v>
      </c>
      <c r="E193" s="215">
        <v>36519</v>
      </c>
      <c r="F193" s="122" t="str">
        <f t="shared" si="16"/>
        <v>December</v>
      </c>
      <c r="G193" s="122">
        <f t="shared" ca="1" si="17"/>
        <v>16</v>
      </c>
      <c r="H193" s="122" t="s">
        <v>283</v>
      </c>
      <c r="I193" s="214">
        <v>61860</v>
      </c>
      <c r="J193" s="213">
        <v>5</v>
      </c>
    </row>
    <row r="194" spans="1:10" x14ac:dyDescent="0.25">
      <c r="A194" s="216" t="s">
        <v>821</v>
      </c>
      <c r="B194" s="122" t="s">
        <v>285</v>
      </c>
      <c r="C194" s="122" t="s">
        <v>456</v>
      </c>
      <c r="D194" s="122" t="s">
        <v>261</v>
      </c>
      <c r="E194" s="215">
        <v>37505</v>
      </c>
      <c r="F194" s="122" t="str">
        <f t="shared" si="16"/>
        <v>September</v>
      </c>
      <c r="G194" s="122">
        <f t="shared" ca="1" si="17"/>
        <v>14</v>
      </c>
      <c r="H194" s="122" t="s">
        <v>276</v>
      </c>
      <c r="I194" s="214">
        <v>51800</v>
      </c>
      <c r="J194" s="213">
        <v>1</v>
      </c>
    </row>
    <row r="195" spans="1:10" x14ac:dyDescent="0.25">
      <c r="A195" s="217" t="s">
        <v>465</v>
      </c>
    </row>
    <row r="196" spans="1:10" x14ac:dyDescent="0.25">
      <c r="A196" s="216" t="s">
        <v>1003</v>
      </c>
      <c r="B196" s="122" t="s">
        <v>285</v>
      </c>
      <c r="C196" s="122" t="s">
        <v>465</v>
      </c>
      <c r="D196" s="122" t="s">
        <v>256</v>
      </c>
      <c r="E196" s="215">
        <v>35932</v>
      </c>
      <c r="F196" s="122" t="str">
        <f t="shared" ref="F196:F227" si="18">CHOOSE(MONTH(E196),"January","February","March","April","May","June","July","August","September","October","November","December")</f>
        <v>May</v>
      </c>
      <c r="G196" s="122">
        <f t="shared" ref="G196:G227" ca="1" si="19">DATEDIF(E196,TODAY(),"Y")</f>
        <v>18</v>
      </c>
      <c r="H196" s="122" t="s">
        <v>283</v>
      </c>
      <c r="I196" s="214">
        <v>89740</v>
      </c>
      <c r="J196" s="213">
        <v>5</v>
      </c>
    </row>
    <row r="197" spans="1:10" x14ac:dyDescent="0.25">
      <c r="A197" s="216" t="s">
        <v>897</v>
      </c>
      <c r="B197" s="122" t="s">
        <v>285</v>
      </c>
      <c r="C197" s="122" t="s">
        <v>465</v>
      </c>
      <c r="D197" s="122" t="s">
        <v>247</v>
      </c>
      <c r="E197" s="215">
        <v>36718</v>
      </c>
      <c r="F197" s="122" t="str">
        <f t="shared" si="18"/>
        <v>July</v>
      </c>
      <c r="G197" s="122">
        <f t="shared" ca="1" si="19"/>
        <v>16</v>
      </c>
      <c r="I197" s="214">
        <v>89520</v>
      </c>
      <c r="J197" s="213">
        <v>5</v>
      </c>
    </row>
    <row r="198" spans="1:10" x14ac:dyDescent="0.25">
      <c r="A198" s="216" t="s">
        <v>904</v>
      </c>
      <c r="B198" s="122" t="s">
        <v>285</v>
      </c>
      <c r="C198" s="122" t="s">
        <v>465</v>
      </c>
      <c r="D198" s="122" t="s">
        <v>247</v>
      </c>
      <c r="E198" s="215">
        <v>35185</v>
      </c>
      <c r="F198" s="122" t="str">
        <f t="shared" si="18"/>
        <v>April</v>
      </c>
      <c r="G198" s="122">
        <f t="shared" ca="1" si="19"/>
        <v>20</v>
      </c>
      <c r="I198" s="214">
        <v>24410</v>
      </c>
      <c r="J198" s="213">
        <v>3</v>
      </c>
    </row>
    <row r="199" spans="1:10" x14ac:dyDescent="0.25">
      <c r="A199" s="216" t="s">
        <v>633</v>
      </c>
      <c r="B199" s="122" t="s">
        <v>285</v>
      </c>
      <c r="C199" s="122" t="s">
        <v>465</v>
      </c>
      <c r="D199" s="122" t="s">
        <v>247</v>
      </c>
      <c r="E199" s="215">
        <v>40449</v>
      </c>
      <c r="F199" s="122" t="str">
        <f t="shared" si="18"/>
        <v>September</v>
      </c>
      <c r="G199" s="122">
        <f t="shared" ca="1" si="19"/>
        <v>6</v>
      </c>
      <c r="I199" s="214">
        <v>88840</v>
      </c>
      <c r="J199" s="213">
        <v>5</v>
      </c>
    </row>
    <row r="200" spans="1:10" x14ac:dyDescent="0.25">
      <c r="A200" s="216" t="s">
        <v>755</v>
      </c>
      <c r="B200" s="122" t="s">
        <v>271</v>
      </c>
      <c r="C200" s="122" t="s">
        <v>465</v>
      </c>
      <c r="D200" s="122" t="s">
        <v>256</v>
      </c>
      <c r="E200" s="215">
        <v>36101</v>
      </c>
      <c r="F200" s="122" t="str">
        <f t="shared" si="18"/>
        <v>November</v>
      </c>
      <c r="G200" s="122">
        <f t="shared" ca="1" si="19"/>
        <v>18</v>
      </c>
      <c r="H200" s="122" t="s">
        <v>257</v>
      </c>
      <c r="I200" s="214">
        <v>88240</v>
      </c>
      <c r="J200" s="213">
        <v>5</v>
      </c>
    </row>
    <row r="201" spans="1:10" x14ac:dyDescent="0.25">
      <c r="A201" s="216" t="s">
        <v>320</v>
      </c>
      <c r="B201" s="122" t="s">
        <v>285</v>
      </c>
      <c r="C201" s="122" t="s">
        <v>465</v>
      </c>
      <c r="D201" s="122" t="s">
        <v>256</v>
      </c>
      <c r="E201" s="215">
        <v>38377</v>
      </c>
      <c r="F201" s="122" t="str">
        <f t="shared" si="18"/>
        <v>January</v>
      </c>
      <c r="G201" s="122">
        <f t="shared" ca="1" si="19"/>
        <v>11</v>
      </c>
      <c r="H201" s="122" t="s">
        <v>257</v>
      </c>
      <c r="I201" s="214">
        <v>87760</v>
      </c>
      <c r="J201" s="213">
        <v>1</v>
      </c>
    </row>
    <row r="202" spans="1:10" x14ac:dyDescent="0.25">
      <c r="A202" s="216" t="s">
        <v>325</v>
      </c>
      <c r="B202" s="122" t="s">
        <v>271</v>
      </c>
      <c r="C202" s="122" t="s">
        <v>465</v>
      </c>
      <c r="D202" s="122" t="s">
        <v>261</v>
      </c>
      <c r="E202" s="215">
        <v>36269</v>
      </c>
      <c r="F202" s="122" t="str">
        <f t="shared" si="18"/>
        <v>April</v>
      </c>
      <c r="G202" s="122">
        <f t="shared" ca="1" si="19"/>
        <v>17</v>
      </c>
      <c r="H202" s="122" t="s">
        <v>283</v>
      </c>
      <c r="I202" s="214">
        <v>48190</v>
      </c>
      <c r="J202" s="213">
        <v>1</v>
      </c>
    </row>
    <row r="203" spans="1:10" x14ac:dyDescent="0.25">
      <c r="A203" s="216" t="s">
        <v>662</v>
      </c>
      <c r="B203" s="122" t="s">
        <v>285</v>
      </c>
      <c r="C203" s="122" t="s">
        <v>465</v>
      </c>
      <c r="D203" s="122" t="s">
        <v>261</v>
      </c>
      <c r="E203" s="215">
        <v>36422</v>
      </c>
      <c r="F203" s="122" t="str">
        <f t="shared" si="18"/>
        <v>September</v>
      </c>
      <c r="G203" s="122">
        <f t="shared" ca="1" si="19"/>
        <v>17</v>
      </c>
      <c r="H203" s="122" t="s">
        <v>283</v>
      </c>
      <c r="I203" s="214">
        <v>17270</v>
      </c>
      <c r="J203" s="213">
        <v>5</v>
      </c>
    </row>
    <row r="204" spans="1:10" x14ac:dyDescent="0.25">
      <c r="A204" s="216" t="s">
        <v>970</v>
      </c>
      <c r="B204" s="122" t="s">
        <v>271</v>
      </c>
      <c r="C204" s="122" t="s">
        <v>465</v>
      </c>
      <c r="D204" s="122" t="s">
        <v>256</v>
      </c>
      <c r="E204" s="215">
        <v>35356</v>
      </c>
      <c r="F204" s="122" t="str">
        <f t="shared" si="18"/>
        <v>October</v>
      </c>
      <c r="G204" s="122">
        <f t="shared" ca="1" si="19"/>
        <v>20</v>
      </c>
      <c r="H204" s="122" t="s">
        <v>262</v>
      </c>
      <c r="I204" s="214">
        <v>45480</v>
      </c>
      <c r="J204" s="213">
        <v>4</v>
      </c>
    </row>
    <row r="205" spans="1:10" x14ac:dyDescent="0.25">
      <c r="A205" s="216" t="s">
        <v>992</v>
      </c>
      <c r="B205" s="122" t="s">
        <v>271</v>
      </c>
      <c r="C205" s="122" t="s">
        <v>465</v>
      </c>
      <c r="D205" s="122" t="s">
        <v>256</v>
      </c>
      <c r="E205" s="215">
        <v>35156</v>
      </c>
      <c r="F205" s="122" t="str">
        <f t="shared" si="18"/>
        <v>April</v>
      </c>
      <c r="G205" s="122">
        <f t="shared" ca="1" si="19"/>
        <v>20</v>
      </c>
      <c r="H205" s="122" t="s">
        <v>283</v>
      </c>
      <c r="I205" s="214">
        <v>86260</v>
      </c>
      <c r="J205" s="213">
        <v>3</v>
      </c>
    </row>
    <row r="206" spans="1:10" x14ac:dyDescent="0.25">
      <c r="A206" s="216" t="s">
        <v>377</v>
      </c>
      <c r="B206" s="122" t="s">
        <v>285</v>
      </c>
      <c r="C206" s="122" t="s">
        <v>465</v>
      </c>
      <c r="D206" s="122" t="s">
        <v>256</v>
      </c>
      <c r="E206" s="215">
        <v>38832</v>
      </c>
      <c r="F206" s="122" t="str">
        <f t="shared" si="18"/>
        <v>April</v>
      </c>
      <c r="G206" s="122">
        <f t="shared" ca="1" si="19"/>
        <v>10</v>
      </c>
      <c r="H206" s="122" t="s">
        <v>276</v>
      </c>
      <c r="I206" s="214">
        <v>29420</v>
      </c>
      <c r="J206" s="213">
        <v>5</v>
      </c>
    </row>
    <row r="207" spans="1:10" x14ac:dyDescent="0.25">
      <c r="A207" s="216" t="s">
        <v>818</v>
      </c>
      <c r="B207" s="122" t="s">
        <v>280</v>
      </c>
      <c r="C207" s="122" t="s">
        <v>465</v>
      </c>
      <c r="D207" s="122" t="s">
        <v>256</v>
      </c>
      <c r="E207" s="215">
        <v>38377</v>
      </c>
      <c r="F207" s="122" t="str">
        <f t="shared" si="18"/>
        <v>January</v>
      </c>
      <c r="G207" s="122">
        <f t="shared" ca="1" si="19"/>
        <v>11</v>
      </c>
      <c r="H207" s="122" t="s">
        <v>257</v>
      </c>
      <c r="I207" s="214">
        <v>41060</v>
      </c>
      <c r="J207" s="213">
        <v>3</v>
      </c>
    </row>
    <row r="208" spans="1:10" x14ac:dyDescent="0.25">
      <c r="A208" s="216" t="s">
        <v>1014</v>
      </c>
      <c r="B208" s="122" t="s">
        <v>271</v>
      </c>
      <c r="C208" s="122" t="s">
        <v>465</v>
      </c>
      <c r="D208" s="122" t="s">
        <v>247</v>
      </c>
      <c r="E208" s="215">
        <v>39545</v>
      </c>
      <c r="F208" s="122" t="str">
        <f t="shared" si="18"/>
        <v>April</v>
      </c>
      <c r="G208" s="122">
        <f t="shared" ca="1" si="19"/>
        <v>8</v>
      </c>
      <c r="I208" s="214">
        <v>84170</v>
      </c>
      <c r="J208" s="213">
        <v>2</v>
      </c>
    </row>
    <row r="209" spans="1:10" x14ac:dyDescent="0.25">
      <c r="A209" s="216" t="s">
        <v>396</v>
      </c>
      <c r="B209" s="122" t="s">
        <v>271</v>
      </c>
      <c r="C209" s="122" t="s">
        <v>465</v>
      </c>
      <c r="D209" s="122" t="s">
        <v>247</v>
      </c>
      <c r="E209" s="215">
        <v>33819</v>
      </c>
      <c r="F209" s="122" t="str">
        <f t="shared" si="18"/>
        <v>August</v>
      </c>
      <c r="G209" s="122">
        <f t="shared" ca="1" si="19"/>
        <v>24</v>
      </c>
      <c r="I209" s="214">
        <v>49530</v>
      </c>
      <c r="J209" s="213">
        <v>2</v>
      </c>
    </row>
    <row r="210" spans="1:10" x14ac:dyDescent="0.25">
      <c r="A210" s="216" t="s">
        <v>685</v>
      </c>
      <c r="B210" s="122" t="s">
        <v>245</v>
      </c>
      <c r="C210" s="122" t="s">
        <v>465</v>
      </c>
      <c r="D210" s="122" t="s">
        <v>256</v>
      </c>
      <c r="E210" s="215">
        <v>35020</v>
      </c>
      <c r="F210" s="122" t="str">
        <f t="shared" si="18"/>
        <v>November</v>
      </c>
      <c r="G210" s="122">
        <f t="shared" ca="1" si="19"/>
        <v>20</v>
      </c>
      <c r="H210" s="122" t="s">
        <v>262</v>
      </c>
      <c r="I210" s="214">
        <v>38940</v>
      </c>
      <c r="J210" s="213">
        <v>2</v>
      </c>
    </row>
    <row r="211" spans="1:10" x14ac:dyDescent="0.25">
      <c r="A211" s="216" t="s">
        <v>735</v>
      </c>
      <c r="B211" s="122" t="s">
        <v>271</v>
      </c>
      <c r="C211" s="122" t="s">
        <v>465</v>
      </c>
      <c r="D211" s="122" t="s">
        <v>256</v>
      </c>
      <c r="E211" s="215">
        <v>34151</v>
      </c>
      <c r="F211" s="122" t="str">
        <f t="shared" si="18"/>
        <v>July</v>
      </c>
      <c r="G211" s="122">
        <f t="shared" ca="1" si="19"/>
        <v>23</v>
      </c>
      <c r="H211" s="122" t="s">
        <v>283</v>
      </c>
      <c r="I211" s="214">
        <v>81980</v>
      </c>
      <c r="J211" s="213">
        <v>2</v>
      </c>
    </row>
    <row r="212" spans="1:10" x14ac:dyDescent="0.25">
      <c r="A212" s="216" t="s">
        <v>351</v>
      </c>
      <c r="B212" s="122" t="s">
        <v>251</v>
      </c>
      <c r="C212" s="122" t="s">
        <v>465</v>
      </c>
      <c r="D212" s="122" t="s">
        <v>256</v>
      </c>
      <c r="E212" s="215">
        <v>36198</v>
      </c>
      <c r="F212" s="122" t="str">
        <f t="shared" si="18"/>
        <v>February</v>
      </c>
      <c r="G212" s="122">
        <f t="shared" ca="1" si="19"/>
        <v>17</v>
      </c>
      <c r="H212" s="122" t="s">
        <v>276</v>
      </c>
      <c r="I212" s="214">
        <v>81400</v>
      </c>
      <c r="J212" s="213">
        <v>2</v>
      </c>
    </row>
    <row r="213" spans="1:10" x14ac:dyDescent="0.25">
      <c r="A213" s="216" t="s">
        <v>493</v>
      </c>
      <c r="B213" s="122" t="s">
        <v>266</v>
      </c>
      <c r="C213" s="122" t="s">
        <v>465</v>
      </c>
      <c r="D213" s="122" t="s">
        <v>256</v>
      </c>
      <c r="E213" s="215">
        <v>40175</v>
      </c>
      <c r="F213" s="122" t="str">
        <f t="shared" si="18"/>
        <v>December</v>
      </c>
      <c r="G213" s="122">
        <f t="shared" ca="1" si="19"/>
        <v>6</v>
      </c>
      <c r="H213" s="122" t="s">
        <v>267</v>
      </c>
      <c r="I213" s="214">
        <v>34690</v>
      </c>
      <c r="J213" s="213">
        <v>2</v>
      </c>
    </row>
    <row r="214" spans="1:10" x14ac:dyDescent="0.25">
      <c r="A214" s="216" t="s">
        <v>573</v>
      </c>
      <c r="B214" s="122" t="s">
        <v>251</v>
      </c>
      <c r="C214" s="122" t="s">
        <v>465</v>
      </c>
      <c r="D214" s="122" t="s">
        <v>256</v>
      </c>
      <c r="E214" s="215">
        <v>34483</v>
      </c>
      <c r="F214" s="122" t="str">
        <f t="shared" si="18"/>
        <v>May</v>
      </c>
      <c r="G214" s="122">
        <f t="shared" ca="1" si="19"/>
        <v>22</v>
      </c>
      <c r="H214" s="122" t="s">
        <v>257</v>
      </c>
      <c r="I214" s="214">
        <v>81010</v>
      </c>
      <c r="J214" s="213">
        <v>4</v>
      </c>
    </row>
    <row r="215" spans="1:10" x14ac:dyDescent="0.25">
      <c r="A215" s="216" t="s">
        <v>657</v>
      </c>
      <c r="B215" s="122" t="s">
        <v>266</v>
      </c>
      <c r="C215" s="122" t="s">
        <v>465</v>
      </c>
      <c r="D215" s="122" t="s">
        <v>247</v>
      </c>
      <c r="E215" s="215">
        <v>34671</v>
      </c>
      <c r="F215" s="122" t="str">
        <f t="shared" si="18"/>
        <v>December</v>
      </c>
      <c r="G215" s="122">
        <f t="shared" ca="1" si="19"/>
        <v>21</v>
      </c>
      <c r="I215" s="214">
        <v>80690</v>
      </c>
      <c r="J215" s="213">
        <v>3</v>
      </c>
    </row>
    <row r="216" spans="1:10" x14ac:dyDescent="0.25">
      <c r="A216" s="216" t="s">
        <v>1019</v>
      </c>
      <c r="B216" s="122" t="s">
        <v>251</v>
      </c>
      <c r="C216" s="122" t="s">
        <v>465</v>
      </c>
      <c r="D216" s="122" t="s">
        <v>247</v>
      </c>
      <c r="E216" s="215">
        <v>38912</v>
      </c>
      <c r="F216" s="122" t="str">
        <f t="shared" si="18"/>
        <v>July</v>
      </c>
      <c r="G216" s="122">
        <f t="shared" ca="1" si="19"/>
        <v>10</v>
      </c>
      <c r="I216" s="214">
        <v>80330</v>
      </c>
      <c r="J216" s="213">
        <v>4</v>
      </c>
    </row>
    <row r="217" spans="1:10" x14ac:dyDescent="0.25">
      <c r="A217" s="216" t="s">
        <v>614</v>
      </c>
      <c r="B217" s="122" t="s">
        <v>271</v>
      </c>
      <c r="C217" s="122" t="s">
        <v>465</v>
      </c>
      <c r="D217" s="122" t="s">
        <v>256</v>
      </c>
      <c r="E217" s="215">
        <v>35520</v>
      </c>
      <c r="F217" s="122" t="str">
        <f t="shared" si="18"/>
        <v>March</v>
      </c>
      <c r="G217" s="122">
        <f t="shared" ca="1" si="19"/>
        <v>19</v>
      </c>
      <c r="H217" s="122" t="s">
        <v>257</v>
      </c>
      <c r="I217" s="214">
        <v>79730</v>
      </c>
      <c r="J217" s="213">
        <v>2</v>
      </c>
    </row>
    <row r="218" spans="1:10" x14ac:dyDescent="0.25">
      <c r="A218" s="216" t="s">
        <v>730</v>
      </c>
      <c r="B218" s="122" t="s">
        <v>285</v>
      </c>
      <c r="C218" s="122" t="s">
        <v>465</v>
      </c>
      <c r="D218" s="122" t="s">
        <v>261</v>
      </c>
      <c r="E218" s="215">
        <v>36604</v>
      </c>
      <c r="F218" s="122" t="str">
        <f t="shared" si="18"/>
        <v>March</v>
      </c>
      <c r="G218" s="122">
        <f t="shared" ca="1" si="19"/>
        <v>16</v>
      </c>
      <c r="H218" s="122" t="s">
        <v>283</v>
      </c>
      <c r="I218" s="214">
        <v>46710</v>
      </c>
      <c r="J218" s="213">
        <v>3</v>
      </c>
    </row>
    <row r="219" spans="1:10" x14ac:dyDescent="0.25">
      <c r="A219" s="216" t="s">
        <v>564</v>
      </c>
      <c r="B219" s="122" t="s">
        <v>285</v>
      </c>
      <c r="C219" s="122" t="s">
        <v>465</v>
      </c>
      <c r="D219" s="122" t="s">
        <v>247</v>
      </c>
      <c r="E219" s="215">
        <v>33774</v>
      </c>
      <c r="F219" s="122" t="str">
        <f t="shared" si="18"/>
        <v>June</v>
      </c>
      <c r="G219" s="122">
        <f t="shared" ca="1" si="19"/>
        <v>24</v>
      </c>
      <c r="I219" s="214">
        <v>32190</v>
      </c>
      <c r="J219" s="213">
        <v>3</v>
      </c>
    </row>
    <row r="220" spans="1:10" x14ac:dyDescent="0.25">
      <c r="A220" s="216" t="s">
        <v>355</v>
      </c>
      <c r="B220" s="122" t="s">
        <v>245</v>
      </c>
      <c r="C220" s="122" t="s">
        <v>465</v>
      </c>
      <c r="D220" s="122" t="s">
        <v>247</v>
      </c>
      <c r="E220" s="215">
        <v>34053</v>
      </c>
      <c r="F220" s="122" t="str">
        <f t="shared" si="18"/>
        <v>March</v>
      </c>
      <c r="G220" s="122">
        <f t="shared" ca="1" si="19"/>
        <v>23</v>
      </c>
      <c r="I220" s="214">
        <v>79220</v>
      </c>
      <c r="J220" s="213">
        <v>4</v>
      </c>
    </row>
    <row r="221" spans="1:10" x14ac:dyDescent="0.25">
      <c r="A221" s="216" t="s">
        <v>545</v>
      </c>
      <c r="B221" s="122" t="s">
        <v>271</v>
      </c>
      <c r="C221" s="122" t="s">
        <v>465</v>
      </c>
      <c r="D221" s="122" t="s">
        <v>256</v>
      </c>
      <c r="E221" s="215">
        <v>33721</v>
      </c>
      <c r="F221" s="122" t="str">
        <f t="shared" si="18"/>
        <v>April</v>
      </c>
      <c r="G221" s="122">
        <f t="shared" ca="1" si="19"/>
        <v>24</v>
      </c>
      <c r="H221" s="122" t="s">
        <v>283</v>
      </c>
      <c r="I221" s="214">
        <v>26190</v>
      </c>
      <c r="J221" s="213">
        <v>5</v>
      </c>
    </row>
    <row r="222" spans="1:10" x14ac:dyDescent="0.25">
      <c r="A222" s="216" t="s">
        <v>483</v>
      </c>
      <c r="B222" s="122" t="s">
        <v>251</v>
      </c>
      <c r="C222" s="122" t="s">
        <v>465</v>
      </c>
      <c r="D222" s="122" t="s">
        <v>256</v>
      </c>
      <c r="E222" s="215">
        <v>35801</v>
      </c>
      <c r="F222" s="122" t="str">
        <f t="shared" si="18"/>
        <v>January</v>
      </c>
      <c r="G222" s="122">
        <f t="shared" ca="1" si="19"/>
        <v>18</v>
      </c>
      <c r="H222" s="122" t="s">
        <v>257</v>
      </c>
      <c r="I222" s="214">
        <v>78570</v>
      </c>
      <c r="J222" s="213">
        <v>1</v>
      </c>
    </row>
    <row r="223" spans="1:10" x14ac:dyDescent="0.25">
      <c r="A223" s="216" t="s">
        <v>1028</v>
      </c>
      <c r="B223" s="122" t="s">
        <v>285</v>
      </c>
      <c r="C223" s="122" t="s">
        <v>465</v>
      </c>
      <c r="D223" s="122" t="s">
        <v>247</v>
      </c>
      <c r="E223" s="215">
        <v>38507</v>
      </c>
      <c r="F223" s="122" t="str">
        <f t="shared" si="18"/>
        <v>June</v>
      </c>
      <c r="G223" s="122">
        <f t="shared" ca="1" si="19"/>
        <v>11</v>
      </c>
      <c r="I223" s="214">
        <v>40940</v>
      </c>
      <c r="J223" s="213">
        <v>2</v>
      </c>
    </row>
    <row r="224" spans="1:10" x14ac:dyDescent="0.25">
      <c r="A224" s="216" t="s">
        <v>881</v>
      </c>
      <c r="B224" s="122" t="s">
        <v>245</v>
      </c>
      <c r="C224" s="122" t="s">
        <v>465</v>
      </c>
      <c r="D224" s="122" t="s">
        <v>247</v>
      </c>
      <c r="E224" s="215">
        <v>39830</v>
      </c>
      <c r="F224" s="122" t="str">
        <f t="shared" si="18"/>
        <v>January</v>
      </c>
      <c r="G224" s="122">
        <f t="shared" ca="1" si="19"/>
        <v>7</v>
      </c>
      <c r="I224" s="214">
        <v>78520</v>
      </c>
      <c r="J224" s="213">
        <v>4</v>
      </c>
    </row>
    <row r="225" spans="1:10" x14ac:dyDescent="0.25">
      <c r="A225" s="216" t="s">
        <v>603</v>
      </c>
      <c r="B225" s="122" t="s">
        <v>280</v>
      </c>
      <c r="C225" s="122" t="s">
        <v>465</v>
      </c>
      <c r="D225" s="122" t="s">
        <v>256</v>
      </c>
      <c r="E225" s="215">
        <v>39972</v>
      </c>
      <c r="F225" s="122" t="str">
        <f t="shared" si="18"/>
        <v>June</v>
      </c>
      <c r="G225" s="122">
        <f t="shared" ca="1" si="19"/>
        <v>7</v>
      </c>
      <c r="H225" s="122" t="s">
        <v>257</v>
      </c>
      <c r="I225" s="214">
        <v>78170</v>
      </c>
      <c r="J225" s="213">
        <v>5</v>
      </c>
    </row>
    <row r="226" spans="1:10" x14ac:dyDescent="0.25">
      <c r="A226" s="216" t="s">
        <v>695</v>
      </c>
      <c r="B226" s="122" t="s">
        <v>285</v>
      </c>
      <c r="C226" s="122" t="s">
        <v>465</v>
      </c>
      <c r="D226" s="122" t="s">
        <v>252</v>
      </c>
      <c r="E226" s="215">
        <v>35982</v>
      </c>
      <c r="F226" s="122" t="str">
        <f t="shared" si="18"/>
        <v>July</v>
      </c>
      <c r="G226" s="122">
        <f t="shared" ca="1" si="19"/>
        <v>18</v>
      </c>
      <c r="I226" s="214">
        <v>8904</v>
      </c>
      <c r="J226" s="213">
        <v>3</v>
      </c>
    </row>
    <row r="227" spans="1:10" x14ac:dyDescent="0.25">
      <c r="A227" s="216" t="s">
        <v>854</v>
      </c>
      <c r="B227" s="122" t="s">
        <v>285</v>
      </c>
      <c r="C227" s="122" t="s">
        <v>465</v>
      </c>
      <c r="D227" s="122" t="s">
        <v>252</v>
      </c>
      <c r="E227" s="215">
        <v>37730</v>
      </c>
      <c r="F227" s="122" t="str">
        <f t="shared" si="18"/>
        <v>April</v>
      </c>
      <c r="G227" s="122">
        <f t="shared" ca="1" si="19"/>
        <v>13</v>
      </c>
      <c r="I227" s="214">
        <v>8892</v>
      </c>
      <c r="J227" s="213">
        <v>1</v>
      </c>
    </row>
    <row r="228" spans="1:10" x14ac:dyDescent="0.25">
      <c r="A228" s="216" t="s">
        <v>886</v>
      </c>
      <c r="B228" s="122" t="s">
        <v>271</v>
      </c>
      <c r="C228" s="122" t="s">
        <v>465</v>
      </c>
      <c r="D228" s="122" t="s">
        <v>256</v>
      </c>
      <c r="E228" s="215">
        <v>34404</v>
      </c>
      <c r="F228" s="122" t="str">
        <f t="shared" ref="F228:F259" si="20">CHOOSE(MONTH(E228),"January","February","March","April","May","June","July","August","September","October","November","December")</f>
        <v>March</v>
      </c>
      <c r="G228" s="122">
        <f t="shared" ref="G228:G259" ca="1" si="21">DATEDIF(E228,TODAY(),"Y")</f>
        <v>22</v>
      </c>
      <c r="H228" s="122" t="s">
        <v>283</v>
      </c>
      <c r="I228" s="214">
        <v>24710</v>
      </c>
      <c r="J228" s="213">
        <v>2</v>
      </c>
    </row>
    <row r="229" spans="1:10" x14ac:dyDescent="0.25">
      <c r="A229" s="216" t="s">
        <v>738</v>
      </c>
      <c r="B229" s="122" t="s">
        <v>266</v>
      </c>
      <c r="C229" s="122" t="s">
        <v>465</v>
      </c>
      <c r="D229" s="122" t="s">
        <v>256</v>
      </c>
      <c r="E229" s="215">
        <v>35830</v>
      </c>
      <c r="F229" s="122" t="str">
        <f t="shared" si="20"/>
        <v>February</v>
      </c>
      <c r="G229" s="122">
        <f t="shared" ca="1" si="21"/>
        <v>18</v>
      </c>
      <c r="H229" s="122" t="s">
        <v>267</v>
      </c>
      <c r="I229" s="214">
        <v>35460</v>
      </c>
      <c r="J229" s="213">
        <v>5</v>
      </c>
    </row>
    <row r="230" spans="1:10" x14ac:dyDescent="0.25">
      <c r="A230" s="216" t="s">
        <v>940</v>
      </c>
      <c r="B230" s="122" t="s">
        <v>285</v>
      </c>
      <c r="C230" s="122" t="s">
        <v>465</v>
      </c>
      <c r="D230" s="122" t="s">
        <v>256</v>
      </c>
      <c r="E230" s="215">
        <v>35526</v>
      </c>
      <c r="F230" s="122" t="str">
        <f t="shared" si="20"/>
        <v>April</v>
      </c>
      <c r="G230" s="122">
        <f t="shared" ca="1" si="21"/>
        <v>19</v>
      </c>
      <c r="H230" s="122" t="s">
        <v>283</v>
      </c>
      <c r="I230" s="214">
        <v>32390</v>
      </c>
      <c r="J230" s="213">
        <v>2</v>
      </c>
    </row>
    <row r="231" spans="1:10" x14ac:dyDescent="0.25">
      <c r="A231" s="216" t="s">
        <v>724</v>
      </c>
      <c r="B231" s="122" t="s">
        <v>245</v>
      </c>
      <c r="C231" s="122" t="s">
        <v>465</v>
      </c>
      <c r="D231" s="122" t="s">
        <v>256</v>
      </c>
      <c r="E231" s="215">
        <v>36698</v>
      </c>
      <c r="F231" s="122" t="str">
        <f t="shared" si="20"/>
        <v>June</v>
      </c>
      <c r="G231" s="122">
        <f t="shared" ca="1" si="21"/>
        <v>16</v>
      </c>
      <c r="H231" s="122" t="s">
        <v>267</v>
      </c>
      <c r="I231" s="214">
        <v>23650</v>
      </c>
      <c r="J231" s="213">
        <v>1</v>
      </c>
    </row>
    <row r="232" spans="1:10" x14ac:dyDescent="0.25">
      <c r="A232" s="216" t="s">
        <v>857</v>
      </c>
      <c r="B232" s="122" t="s">
        <v>266</v>
      </c>
      <c r="C232" s="122" t="s">
        <v>465</v>
      </c>
      <c r="D232" s="122" t="s">
        <v>252</v>
      </c>
      <c r="E232" s="215">
        <v>39747</v>
      </c>
      <c r="F232" s="122" t="str">
        <f t="shared" si="20"/>
        <v>October</v>
      </c>
      <c r="G232" s="122">
        <f t="shared" ca="1" si="21"/>
        <v>8</v>
      </c>
      <c r="I232" s="214">
        <v>10572</v>
      </c>
      <c r="J232" s="213">
        <v>4</v>
      </c>
    </row>
    <row r="233" spans="1:10" x14ac:dyDescent="0.25">
      <c r="A233" s="216" t="s">
        <v>478</v>
      </c>
      <c r="B233" s="122" t="s">
        <v>251</v>
      </c>
      <c r="C233" s="122" t="s">
        <v>465</v>
      </c>
      <c r="D233" s="122" t="s">
        <v>247</v>
      </c>
      <c r="E233" s="215">
        <v>35927</v>
      </c>
      <c r="F233" s="122" t="str">
        <f t="shared" si="20"/>
        <v>May</v>
      </c>
      <c r="G233" s="122">
        <f t="shared" ca="1" si="21"/>
        <v>18</v>
      </c>
      <c r="I233" s="214">
        <v>76910</v>
      </c>
      <c r="J233" s="213">
        <v>1</v>
      </c>
    </row>
    <row r="234" spans="1:10" x14ac:dyDescent="0.25">
      <c r="A234" s="216" t="s">
        <v>899</v>
      </c>
      <c r="B234" s="122" t="s">
        <v>271</v>
      </c>
      <c r="C234" s="122" t="s">
        <v>465</v>
      </c>
      <c r="D234" s="122" t="s">
        <v>247</v>
      </c>
      <c r="E234" s="215">
        <v>40470</v>
      </c>
      <c r="F234" s="122" t="str">
        <f t="shared" si="20"/>
        <v>October</v>
      </c>
      <c r="G234" s="122">
        <f t="shared" ca="1" si="21"/>
        <v>6</v>
      </c>
      <c r="I234" s="214">
        <v>37840</v>
      </c>
      <c r="J234" s="213">
        <v>1</v>
      </c>
    </row>
    <row r="235" spans="1:10" x14ac:dyDescent="0.25">
      <c r="A235" s="216" t="s">
        <v>489</v>
      </c>
      <c r="B235" s="122" t="s">
        <v>285</v>
      </c>
      <c r="C235" s="122" t="s">
        <v>465</v>
      </c>
      <c r="D235" s="122" t="s">
        <v>256</v>
      </c>
      <c r="E235" s="215">
        <v>36707</v>
      </c>
      <c r="F235" s="122" t="str">
        <f t="shared" si="20"/>
        <v>June</v>
      </c>
      <c r="G235" s="122">
        <f t="shared" ca="1" si="21"/>
        <v>16</v>
      </c>
      <c r="H235" s="122" t="s">
        <v>276</v>
      </c>
      <c r="I235" s="214">
        <v>38870</v>
      </c>
      <c r="J235" s="213">
        <v>2</v>
      </c>
    </row>
    <row r="236" spans="1:10" x14ac:dyDescent="0.25">
      <c r="A236" s="216" t="s">
        <v>303</v>
      </c>
      <c r="B236" s="122" t="s">
        <v>251</v>
      </c>
      <c r="C236" s="122" t="s">
        <v>465</v>
      </c>
      <c r="D236" s="122" t="s">
        <v>256</v>
      </c>
      <c r="E236" s="215">
        <v>35311</v>
      </c>
      <c r="F236" s="122" t="str">
        <f t="shared" si="20"/>
        <v>September</v>
      </c>
      <c r="G236" s="122">
        <f t="shared" ca="1" si="21"/>
        <v>20</v>
      </c>
      <c r="H236" s="122" t="s">
        <v>267</v>
      </c>
      <c r="I236" s="214">
        <v>39520</v>
      </c>
      <c r="J236" s="213">
        <v>5</v>
      </c>
    </row>
    <row r="237" spans="1:10" x14ac:dyDescent="0.25">
      <c r="A237" s="216" t="s">
        <v>507</v>
      </c>
      <c r="B237" s="122" t="s">
        <v>245</v>
      </c>
      <c r="C237" s="122" t="s">
        <v>465</v>
      </c>
      <c r="D237" s="122" t="s">
        <v>256</v>
      </c>
      <c r="E237" s="215">
        <v>38809</v>
      </c>
      <c r="F237" s="122" t="str">
        <f t="shared" si="20"/>
        <v>April</v>
      </c>
      <c r="G237" s="122">
        <f t="shared" ca="1" si="21"/>
        <v>10</v>
      </c>
      <c r="H237" s="122" t="s">
        <v>262</v>
      </c>
      <c r="I237" s="214">
        <v>76584</v>
      </c>
      <c r="J237" s="213">
        <v>1</v>
      </c>
    </row>
    <row r="238" spans="1:10" x14ac:dyDescent="0.25">
      <c r="A238" s="216" t="s">
        <v>912</v>
      </c>
      <c r="B238" s="122" t="s">
        <v>285</v>
      </c>
      <c r="C238" s="122" t="s">
        <v>465</v>
      </c>
      <c r="D238" s="122" t="s">
        <v>256</v>
      </c>
      <c r="E238" s="215">
        <v>40203</v>
      </c>
      <c r="F238" s="122" t="str">
        <f t="shared" si="20"/>
        <v>January</v>
      </c>
      <c r="G238" s="122">
        <f t="shared" ca="1" si="21"/>
        <v>6</v>
      </c>
      <c r="H238" s="122" t="s">
        <v>257</v>
      </c>
      <c r="I238" s="214">
        <v>35600</v>
      </c>
      <c r="J238" s="213">
        <v>5</v>
      </c>
    </row>
    <row r="239" spans="1:10" x14ac:dyDescent="0.25">
      <c r="A239" s="216" t="s">
        <v>691</v>
      </c>
      <c r="B239" s="122" t="s">
        <v>271</v>
      </c>
      <c r="C239" s="122" t="s">
        <v>465</v>
      </c>
      <c r="D239" s="122" t="s">
        <v>256</v>
      </c>
      <c r="E239" s="215">
        <v>36535</v>
      </c>
      <c r="F239" s="122" t="str">
        <f t="shared" si="20"/>
        <v>January</v>
      </c>
      <c r="G239" s="122">
        <f t="shared" ca="1" si="21"/>
        <v>16</v>
      </c>
      <c r="H239" s="122" t="s">
        <v>257</v>
      </c>
      <c r="I239" s="214">
        <v>76192</v>
      </c>
      <c r="J239" s="213">
        <v>4</v>
      </c>
    </row>
    <row r="240" spans="1:10" x14ac:dyDescent="0.25">
      <c r="A240" s="216" t="s">
        <v>878</v>
      </c>
      <c r="B240" s="122" t="s">
        <v>266</v>
      </c>
      <c r="C240" s="122" t="s">
        <v>465</v>
      </c>
      <c r="D240" s="122" t="s">
        <v>247</v>
      </c>
      <c r="E240" s="215">
        <v>37820</v>
      </c>
      <c r="F240" s="122" t="str">
        <f t="shared" si="20"/>
        <v>July</v>
      </c>
      <c r="G240" s="122">
        <f t="shared" ca="1" si="21"/>
        <v>13</v>
      </c>
      <c r="I240" s="214">
        <v>75420</v>
      </c>
      <c r="J240" s="213">
        <v>1</v>
      </c>
    </row>
    <row r="241" spans="1:10" x14ac:dyDescent="0.25">
      <c r="A241" s="216" t="s">
        <v>293</v>
      </c>
      <c r="B241" s="122" t="s">
        <v>271</v>
      </c>
      <c r="C241" s="122" t="s">
        <v>465</v>
      </c>
      <c r="D241" s="122" t="s">
        <v>256</v>
      </c>
      <c r="E241" s="215">
        <v>37943</v>
      </c>
      <c r="F241" s="122" t="str">
        <f t="shared" si="20"/>
        <v>November</v>
      </c>
      <c r="G241" s="122">
        <f t="shared" ca="1" si="21"/>
        <v>12</v>
      </c>
      <c r="H241" s="122" t="s">
        <v>257</v>
      </c>
      <c r="I241" s="214">
        <v>75176</v>
      </c>
      <c r="J241" s="213">
        <v>3</v>
      </c>
    </row>
    <row r="242" spans="1:10" x14ac:dyDescent="0.25">
      <c r="A242" s="216" t="s">
        <v>751</v>
      </c>
      <c r="B242" s="122" t="s">
        <v>271</v>
      </c>
      <c r="C242" s="122" t="s">
        <v>465</v>
      </c>
      <c r="D242" s="122" t="s">
        <v>256</v>
      </c>
      <c r="E242" s="215">
        <v>36009</v>
      </c>
      <c r="F242" s="122" t="str">
        <f t="shared" si="20"/>
        <v>August</v>
      </c>
      <c r="G242" s="122">
        <f t="shared" ca="1" si="21"/>
        <v>18</v>
      </c>
      <c r="H242" s="122" t="s">
        <v>257</v>
      </c>
      <c r="I242" s="214">
        <v>75120</v>
      </c>
      <c r="J242" s="213">
        <v>5</v>
      </c>
    </row>
    <row r="243" spans="1:10" x14ac:dyDescent="0.25">
      <c r="A243" s="216" t="s">
        <v>862</v>
      </c>
      <c r="B243" s="122" t="s">
        <v>285</v>
      </c>
      <c r="C243" s="122" t="s">
        <v>465</v>
      </c>
      <c r="D243" s="122" t="s">
        <v>256</v>
      </c>
      <c r="E243" s="215">
        <v>40603</v>
      </c>
      <c r="F243" s="122" t="str">
        <f t="shared" si="20"/>
        <v>March</v>
      </c>
      <c r="G243" s="122">
        <f t="shared" ca="1" si="21"/>
        <v>5</v>
      </c>
      <c r="H243" s="122" t="s">
        <v>267</v>
      </c>
      <c r="I243" s="214">
        <v>44260</v>
      </c>
      <c r="J243" s="213">
        <v>1</v>
      </c>
    </row>
    <row r="244" spans="1:10" x14ac:dyDescent="0.25">
      <c r="A244" s="216" t="s">
        <v>550</v>
      </c>
      <c r="B244" s="122" t="s">
        <v>280</v>
      </c>
      <c r="C244" s="122" t="s">
        <v>465</v>
      </c>
      <c r="D244" s="122" t="s">
        <v>256</v>
      </c>
      <c r="E244" s="215">
        <v>36084</v>
      </c>
      <c r="F244" s="122" t="str">
        <f t="shared" si="20"/>
        <v>October</v>
      </c>
      <c r="G244" s="122">
        <f t="shared" ca="1" si="21"/>
        <v>18</v>
      </c>
      <c r="H244" s="122" t="s">
        <v>257</v>
      </c>
      <c r="I244" s="214">
        <v>33210</v>
      </c>
      <c r="J244" s="213">
        <v>4</v>
      </c>
    </row>
    <row r="245" spans="1:10" x14ac:dyDescent="0.25">
      <c r="A245" s="216" t="s">
        <v>869</v>
      </c>
      <c r="B245" s="122" t="s">
        <v>271</v>
      </c>
      <c r="C245" s="122" t="s">
        <v>465</v>
      </c>
      <c r="D245" s="122" t="s">
        <v>247</v>
      </c>
      <c r="E245" s="215">
        <v>33979</v>
      </c>
      <c r="F245" s="122" t="str">
        <f t="shared" si="20"/>
        <v>January</v>
      </c>
      <c r="G245" s="122">
        <f t="shared" ca="1" si="21"/>
        <v>23</v>
      </c>
      <c r="I245" s="214">
        <v>73990</v>
      </c>
      <c r="J245" s="213">
        <v>3</v>
      </c>
    </row>
    <row r="246" spans="1:10" x14ac:dyDescent="0.25">
      <c r="A246" s="216" t="s">
        <v>709</v>
      </c>
      <c r="B246" s="122" t="s">
        <v>285</v>
      </c>
      <c r="C246" s="122" t="s">
        <v>465</v>
      </c>
      <c r="D246" s="122" t="s">
        <v>256</v>
      </c>
      <c r="E246" s="215">
        <v>35199</v>
      </c>
      <c r="F246" s="122" t="str">
        <f t="shared" si="20"/>
        <v>May</v>
      </c>
      <c r="G246" s="122">
        <f t="shared" ca="1" si="21"/>
        <v>20</v>
      </c>
      <c r="H246" s="122" t="s">
        <v>257</v>
      </c>
      <c r="I246" s="214">
        <v>73450</v>
      </c>
      <c r="J246" s="213">
        <v>3</v>
      </c>
    </row>
    <row r="247" spans="1:10" x14ac:dyDescent="0.25">
      <c r="A247" s="216" t="s">
        <v>789</v>
      </c>
      <c r="B247" s="122" t="s">
        <v>271</v>
      </c>
      <c r="C247" s="122" t="s">
        <v>465</v>
      </c>
      <c r="D247" s="122" t="s">
        <v>252</v>
      </c>
      <c r="E247" s="215">
        <v>36305</v>
      </c>
      <c r="F247" s="122" t="str">
        <f t="shared" si="20"/>
        <v>May</v>
      </c>
      <c r="G247" s="122">
        <f t="shared" ca="1" si="21"/>
        <v>17</v>
      </c>
      <c r="I247" s="214">
        <v>9424</v>
      </c>
      <c r="J247" s="213">
        <v>4</v>
      </c>
    </row>
    <row r="248" spans="1:10" x14ac:dyDescent="0.25">
      <c r="A248" s="216" t="s">
        <v>652</v>
      </c>
      <c r="B248" s="122" t="s">
        <v>245</v>
      </c>
      <c r="C248" s="122" t="s">
        <v>465</v>
      </c>
      <c r="D248" s="122" t="s">
        <v>261</v>
      </c>
      <c r="E248" s="215">
        <v>37620</v>
      </c>
      <c r="F248" s="122" t="str">
        <f t="shared" si="20"/>
        <v>December</v>
      </c>
      <c r="G248" s="122">
        <f t="shared" ca="1" si="21"/>
        <v>13</v>
      </c>
      <c r="H248" s="122" t="s">
        <v>257</v>
      </c>
      <c r="I248" s="214">
        <v>24460</v>
      </c>
      <c r="J248" s="213">
        <v>1</v>
      </c>
    </row>
    <row r="249" spans="1:10" x14ac:dyDescent="0.25">
      <c r="A249" s="216" t="s">
        <v>585</v>
      </c>
      <c r="B249" s="122" t="s">
        <v>245</v>
      </c>
      <c r="C249" s="122" t="s">
        <v>465</v>
      </c>
      <c r="D249" s="122" t="s">
        <v>256</v>
      </c>
      <c r="E249" s="215">
        <v>35511</v>
      </c>
      <c r="F249" s="122" t="str">
        <f t="shared" si="20"/>
        <v>March</v>
      </c>
      <c r="G249" s="122">
        <f t="shared" ca="1" si="21"/>
        <v>19</v>
      </c>
      <c r="H249" s="122" t="s">
        <v>283</v>
      </c>
      <c r="I249" s="214">
        <v>73144</v>
      </c>
      <c r="J249" s="213">
        <v>5</v>
      </c>
    </row>
    <row r="250" spans="1:10" x14ac:dyDescent="0.25">
      <c r="A250" s="216" t="s">
        <v>640</v>
      </c>
      <c r="B250" s="122" t="s">
        <v>285</v>
      </c>
      <c r="C250" s="122" t="s">
        <v>465</v>
      </c>
      <c r="D250" s="122" t="s">
        <v>256</v>
      </c>
      <c r="E250" s="215">
        <v>35024</v>
      </c>
      <c r="F250" s="122" t="str">
        <f t="shared" si="20"/>
        <v>November</v>
      </c>
      <c r="G250" s="122">
        <f t="shared" ca="1" si="21"/>
        <v>20</v>
      </c>
      <c r="H250" s="122" t="s">
        <v>283</v>
      </c>
      <c r="I250" s="214">
        <v>73072</v>
      </c>
      <c r="J250" s="213">
        <v>5</v>
      </c>
    </row>
    <row r="251" spans="1:10" x14ac:dyDescent="0.25">
      <c r="A251" s="216" t="s">
        <v>623</v>
      </c>
      <c r="B251" s="122" t="s">
        <v>245</v>
      </c>
      <c r="C251" s="122" t="s">
        <v>465</v>
      </c>
      <c r="D251" s="122" t="s">
        <v>256</v>
      </c>
      <c r="E251" s="215">
        <v>40578</v>
      </c>
      <c r="F251" s="122" t="str">
        <f t="shared" si="20"/>
        <v>February</v>
      </c>
      <c r="G251" s="122">
        <f t="shared" ca="1" si="21"/>
        <v>5</v>
      </c>
      <c r="H251" s="122" t="s">
        <v>257</v>
      </c>
      <c r="I251" s="214">
        <v>43820</v>
      </c>
      <c r="J251" s="213">
        <v>2</v>
      </c>
    </row>
    <row r="252" spans="1:10" x14ac:dyDescent="0.25">
      <c r="A252" s="216" t="s">
        <v>804</v>
      </c>
      <c r="B252" s="122" t="s">
        <v>285</v>
      </c>
      <c r="C252" s="122" t="s">
        <v>465</v>
      </c>
      <c r="D252" s="122" t="s">
        <v>247</v>
      </c>
      <c r="E252" s="215">
        <v>35997</v>
      </c>
      <c r="F252" s="122" t="str">
        <f t="shared" si="20"/>
        <v>July</v>
      </c>
      <c r="G252" s="122">
        <f t="shared" ca="1" si="21"/>
        <v>18</v>
      </c>
      <c r="I252" s="214">
        <v>72520</v>
      </c>
      <c r="J252" s="213">
        <v>3</v>
      </c>
    </row>
    <row r="253" spans="1:10" x14ac:dyDescent="0.25">
      <c r="A253" s="216" t="s">
        <v>304</v>
      </c>
      <c r="B253" s="122" t="s">
        <v>280</v>
      </c>
      <c r="C253" s="122" t="s">
        <v>465</v>
      </c>
      <c r="D253" s="122" t="s">
        <v>252</v>
      </c>
      <c r="E253" s="215">
        <v>34165</v>
      </c>
      <c r="F253" s="122" t="str">
        <f t="shared" si="20"/>
        <v>July</v>
      </c>
      <c r="G253" s="122">
        <f t="shared" ca="1" si="21"/>
        <v>23</v>
      </c>
      <c r="I253" s="214">
        <v>30416</v>
      </c>
      <c r="J253" s="213">
        <v>1</v>
      </c>
    </row>
    <row r="254" spans="1:10" x14ac:dyDescent="0.25">
      <c r="A254" s="216" t="s">
        <v>1010</v>
      </c>
      <c r="B254" s="122" t="s">
        <v>245</v>
      </c>
      <c r="C254" s="122" t="s">
        <v>465</v>
      </c>
      <c r="D254" s="122" t="s">
        <v>252</v>
      </c>
      <c r="E254" s="215">
        <v>35829</v>
      </c>
      <c r="F254" s="122" t="str">
        <f t="shared" si="20"/>
        <v>February</v>
      </c>
      <c r="G254" s="122">
        <f t="shared" ca="1" si="21"/>
        <v>18</v>
      </c>
      <c r="I254" s="214">
        <v>29176</v>
      </c>
      <c r="J254" s="213">
        <v>3</v>
      </c>
    </row>
    <row r="255" spans="1:10" x14ac:dyDescent="0.25">
      <c r="A255" s="216" t="s">
        <v>988</v>
      </c>
      <c r="B255" s="122" t="s">
        <v>245</v>
      </c>
      <c r="C255" s="122" t="s">
        <v>465</v>
      </c>
      <c r="D255" s="122" t="s">
        <v>247</v>
      </c>
      <c r="E255" s="215">
        <v>38289</v>
      </c>
      <c r="F255" s="122" t="str">
        <f t="shared" si="20"/>
        <v>October</v>
      </c>
      <c r="G255" s="122">
        <f t="shared" ca="1" si="21"/>
        <v>12</v>
      </c>
      <c r="I255" s="214">
        <v>71830</v>
      </c>
      <c r="J255" s="213">
        <v>3</v>
      </c>
    </row>
    <row r="256" spans="1:10" x14ac:dyDescent="0.25">
      <c r="A256" s="216" t="s">
        <v>890</v>
      </c>
      <c r="B256" s="122" t="s">
        <v>285</v>
      </c>
      <c r="C256" s="122" t="s">
        <v>465</v>
      </c>
      <c r="D256" s="122" t="s">
        <v>247</v>
      </c>
      <c r="E256" s="215">
        <v>35972</v>
      </c>
      <c r="F256" s="122" t="str">
        <f t="shared" si="20"/>
        <v>June</v>
      </c>
      <c r="G256" s="122">
        <f t="shared" ca="1" si="21"/>
        <v>18</v>
      </c>
      <c r="I256" s="214">
        <v>71710</v>
      </c>
      <c r="J256" s="213">
        <v>5</v>
      </c>
    </row>
    <row r="257" spans="1:10" x14ac:dyDescent="0.25">
      <c r="A257" s="216" t="s">
        <v>634</v>
      </c>
      <c r="B257" s="122" t="s">
        <v>271</v>
      </c>
      <c r="C257" s="122" t="s">
        <v>465</v>
      </c>
      <c r="D257" s="122" t="s">
        <v>256</v>
      </c>
      <c r="E257" s="215">
        <v>39390</v>
      </c>
      <c r="F257" s="122" t="str">
        <f t="shared" si="20"/>
        <v>November</v>
      </c>
      <c r="G257" s="122">
        <f t="shared" ca="1" si="21"/>
        <v>9</v>
      </c>
      <c r="H257" s="122" t="s">
        <v>267</v>
      </c>
      <c r="I257" s="214">
        <v>71490</v>
      </c>
      <c r="J257" s="213">
        <v>5</v>
      </c>
    </row>
    <row r="258" spans="1:10" x14ac:dyDescent="0.25">
      <c r="A258" s="216" t="s">
        <v>587</v>
      </c>
      <c r="B258" s="122" t="s">
        <v>245</v>
      </c>
      <c r="C258" s="122" t="s">
        <v>465</v>
      </c>
      <c r="D258" s="122" t="s">
        <v>256</v>
      </c>
      <c r="E258" s="215">
        <v>36122</v>
      </c>
      <c r="F258" s="122" t="str">
        <f t="shared" si="20"/>
        <v>November</v>
      </c>
      <c r="G258" s="122">
        <f t="shared" ca="1" si="21"/>
        <v>17</v>
      </c>
      <c r="H258" s="122" t="s">
        <v>262</v>
      </c>
      <c r="I258" s="214">
        <v>22660</v>
      </c>
      <c r="J258" s="213">
        <v>2</v>
      </c>
    </row>
    <row r="259" spans="1:10" x14ac:dyDescent="0.25">
      <c r="A259" s="216" t="s">
        <v>315</v>
      </c>
      <c r="B259" s="122" t="s">
        <v>266</v>
      </c>
      <c r="C259" s="122" t="s">
        <v>465</v>
      </c>
      <c r="D259" s="122" t="s">
        <v>256</v>
      </c>
      <c r="E259" s="215">
        <v>39312</v>
      </c>
      <c r="F259" s="122" t="str">
        <f t="shared" si="20"/>
        <v>August</v>
      </c>
      <c r="G259" s="122">
        <f t="shared" ca="1" si="21"/>
        <v>9</v>
      </c>
      <c r="H259" s="122" t="s">
        <v>262</v>
      </c>
      <c r="I259" s="214">
        <v>71030</v>
      </c>
      <c r="J259" s="213">
        <v>3</v>
      </c>
    </row>
    <row r="260" spans="1:10" x14ac:dyDescent="0.25">
      <c r="A260" s="216" t="s">
        <v>510</v>
      </c>
      <c r="B260" s="122" t="s">
        <v>266</v>
      </c>
      <c r="C260" s="122" t="s">
        <v>465</v>
      </c>
      <c r="D260" s="122" t="s">
        <v>256</v>
      </c>
      <c r="E260" s="215">
        <v>38321</v>
      </c>
      <c r="F260" s="122" t="str">
        <f t="shared" ref="F260:F291" si="22">CHOOSE(MONTH(E260),"January","February","March","April","May","June","July","August","September","October","November","December")</f>
        <v>November</v>
      </c>
      <c r="G260" s="122">
        <f t="shared" ref="G260:G291" ca="1" si="23">DATEDIF(E260,TODAY(),"Y")</f>
        <v>11</v>
      </c>
      <c r="H260" s="122" t="s">
        <v>262</v>
      </c>
      <c r="I260" s="214">
        <v>70760</v>
      </c>
      <c r="J260" s="213">
        <v>1</v>
      </c>
    </row>
    <row r="261" spans="1:10" x14ac:dyDescent="0.25">
      <c r="A261" s="216" t="s">
        <v>742</v>
      </c>
      <c r="B261" s="122" t="s">
        <v>245</v>
      </c>
      <c r="C261" s="122" t="s">
        <v>465</v>
      </c>
      <c r="D261" s="122" t="s">
        <v>256</v>
      </c>
      <c r="E261" s="215">
        <v>35714</v>
      </c>
      <c r="F261" s="122" t="str">
        <f t="shared" si="22"/>
        <v>October</v>
      </c>
      <c r="G261" s="122">
        <f t="shared" ca="1" si="23"/>
        <v>19</v>
      </c>
      <c r="H261" s="122" t="s">
        <v>262</v>
      </c>
      <c r="I261" s="214">
        <v>70020</v>
      </c>
      <c r="J261" s="213">
        <v>3</v>
      </c>
    </row>
    <row r="262" spans="1:10" x14ac:dyDescent="0.25">
      <c r="A262" s="216" t="s">
        <v>450</v>
      </c>
      <c r="B262" s="122" t="s">
        <v>251</v>
      </c>
      <c r="C262" s="122" t="s">
        <v>465</v>
      </c>
      <c r="D262" s="122" t="s">
        <v>261</v>
      </c>
      <c r="E262" s="215">
        <v>35343</v>
      </c>
      <c r="F262" s="122" t="str">
        <f t="shared" si="22"/>
        <v>October</v>
      </c>
      <c r="G262" s="122">
        <f t="shared" ca="1" si="23"/>
        <v>20</v>
      </c>
      <c r="H262" s="122" t="s">
        <v>257</v>
      </c>
      <c r="I262" s="214">
        <v>46645</v>
      </c>
      <c r="J262" s="213">
        <v>5</v>
      </c>
    </row>
    <row r="263" spans="1:10" x14ac:dyDescent="0.25">
      <c r="A263" s="216" t="s">
        <v>879</v>
      </c>
      <c r="B263" s="122" t="s">
        <v>271</v>
      </c>
      <c r="C263" s="122" t="s">
        <v>465</v>
      </c>
      <c r="D263" s="122" t="s">
        <v>247</v>
      </c>
      <c r="E263" s="215">
        <v>36455</v>
      </c>
      <c r="F263" s="122" t="str">
        <f t="shared" si="22"/>
        <v>October</v>
      </c>
      <c r="G263" s="122">
        <f t="shared" ca="1" si="23"/>
        <v>17</v>
      </c>
      <c r="I263" s="214">
        <v>23810</v>
      </c>
      <c r="J263" s="213">
        <v>4</v>
      </c>
    </row>
    <row r="264" spans="1:10" x14ac:dyDescent="0.25">
      <c r="A264" s="216" t="s">
        <v>958</v>
      </c>
      <c r="B264" s="122" t="s">
        <v>271</v>
      </c>
      <c r="C264" s="122" t="s">
        <v>465</v>
      </c>
      <c r="D264" s="122" t="s">
        <v>256</v>
      </c>
      <c r="E264" s="215">
        <v>39696</v>
      </c>
      <c r="F264" s="122" t="str">
        <f t="shared" si="22"/>
        <v>September</v>
      </c>
      <c r="G264" s="122">
        <f t="shared" ca="1" si="23"/>
        <v>8</v>
      </c>
      <c r="H264" s="122" t="s">
        <v>257</v>
      </c>
      <c r="I264" s="214">
        <v>69320</v>
      </c>
      <c r="J264" s="213">
        <v>3</v>
      </c>
    </row>
    <row r="265" spans="1:10" x14ac:dyDescent="0.25">
      <c r="A265" s="216" t="s">
        <v>1000</v>
      </c>
      <c r="B265" s="122" t="s">
        <v>271</v>
      </c>
      <c r="C265" s="122" t="s">
        <v>465</v>
      </c>
      <c r="D265" s="122" t="s">
        <v>256</v>
      </c>
      <c r="E265" s="215">
        <v>37509</v>
      </c>
      <c r="F265" s="122" t="str">
        <f t="shared" si="22"/>
        <v>September</v>
      </c>
      <c r="G265" s="122">
        <f t="shared" ca="1" si="23"/>
        <v>14</v>
      </c>
      <c r="H265" s="122" t="s">
        <v>283</v>
      </c>
      <c r="I265" s="214">
        <v>69080</v>
      </c>
      <c r="J265" s="213">
        <v>3</v>
      </c>
    </row>
    <row r="266" spans="1:10" x14ac:dyDescent="0.25">
      <c r="A266" s="216" t="s">
        <v>749</v>
      </c>
      <c r="B266" s="122" t="s">
        <v>280</v>
      </c>
      <c r="C266" s="122" t="s">
        <v>465</v>
      </c>
      <c r="D266" s="122" t="s">
        <v>252</v>
      </c>
      <c r="E266" s="215">
        <v>36067</v>
      </c>
      <c r="F266" s="122" t="str">
        <f t="shared" si="22"/>
        <v>September</v>
      </c>
      <c r="G266" s="122">
        <f t="shared" ca="1" si="23"/>
        <v>18</v>
      </c>
      <c r="I266" s="214">
        <v>37612</v>
      </c>
      <c r="J266" s="213">
        <v>4</v>
      </c>
    </row>
    <row r="267" spans="1:10" x14ac:dyDescent="0.25">
      <c r="A267" s="216" t="s">
        <v>654</v>
      </c>
      <c r="B267" s="122" t="s">
        <v>245</v>
      </c>
      <c r="C267" s="122" t="s">
        <v>465</v>
      </c>
      <c r="D267" s="122" t="s">
        <v>252</v>
      </c>
      <c r="E267" s="215">
        <v>39087</v>
      </c>
      <c r="F267" s="122" t="str">
        <f t="shared" si="22"/>
        <v>January</v>
      </c>
      <c r="G267" s="122">
        <f t="shared" ca="1" si="23"/>
        <v>9</v>
      </c>
      <c r="I267" s="214">
        <v>14416</v>
      </c>
      <c r="J267" s="213">
        <v>4</v>
      </c>
    </row>
    <row r="268" spans="1:10" x14ac:dyDescent="0.25">
      <c r="A268" s="216" t="s">
        <v>665</v>
      </c>
      <c r="B268" s="122" t="s">
        <v>280</v>
      </c>
      <c r="C268" s="122" t="s">
        <v>465</v>
      </c>
      <c r="D268" s="122" t="s">
        <v>256</v>
      </c>
      <c r="E268" s="215">
        <v>36413</v>
      </c>
      <c r="F268" s="122" t="str">
        <f t="shared" si="22"/>
        <v>September</v>
      </c>
      <c r="G268" s="122">
        <f t="shared" ca="1" si="23"/>
        <v>17</v>
      </c>
      <c r="H268" s="122" t="s">
        <v>257</v>
      </c>
      <c r="I268" s="214">
        <v>40060</v>
      </c>
      <c r="J268" s="213">
        <v>3</v>
      </c>
    </row>
    <row r="269" spans="1:10" x14ac:dyDescent="0.25">
      <c r="A269" s="216" t="s">
        <v>885</v>
      </c>
      <c r="B269" s="122" t="s">
        <v>285</v>
      </c>
      <c r="C269" s="122" t="s">
        <v>465</v>
      </c>
      <c r="D269" s="122" t="s">
        <v>256</v>
      </c>
      <c r="E269" s="215">
        <v>36318</v>
      </c>
      <c r="F269" s="122" t="str">
        <f t="shared" si="22"/>
        <v>June</v>
      </c>
      <c r="G269" s="122">
        <f t="shared" ca="1" si="23"/>
        <v>17</v>
      </c>
      <c r="H269" s="122" t="s">
        <v>283</v>
      </c>
      <c r="I269" s="214">
        <v>68750</v>
      </c>
      <c r="J269" s="213">
        <v>1</v>
      </c>
    </row>
    <row r="270" spans="1:10" x14ac:dyDescent="0.25">
      <c r="A270" s="216" t="s">
        <v>1029</v>
      </c>
      <c r="B270" s="122" t="s">
        <v>285</v>
      </c>
      <c r="C270" s="122" t="s">
        <v>465</v>
      </c>
      <c r="D270" s="122" t="s">
        <v>247</v>
      </c>
      <c r="E270" s="215">
        <v>38073</v>
      </c>
      <c r="F270" s="122" t="str">
        <f t="shared" si="22"/>
        <v>March</v>
      </c>
      <c r="G270" s="122">
        <f t="shared" ca="1" si="23"/>
        <v>12</v>
      </c>
      <c r="I270" s="214">
        <v>39300</v>
      </c>
      <c r="J270" s="213">
        <v>2</v>
      </c>
    </row>
    <row r="271" spans="1:10" x14ac:dyDescent="0.25">
      <c r="A271" s="216" t="s">
        <v>748</v>
      </c>
      <c r="B271" s="122" t="s">
        <v>245</v>
      </c>
      <c r="C271" s="122" t="s">
        <v>465</v>
      </c>
      <c r="D271" s="122" t="s">
        <v>256</v>
      </c>
      <c r="E271" s="215">
        <v>38733</v>
      </c>
      <c r="F271" s="122" t="str">
        <f t="shared" si="22"/>
        <v>January</v>
      </c>
      <c r="G271" s="122">
        <f t="shared" ca="1" si="23"/>
        <v>10</v>
      </c>
      <c r="H271" s="122" t="s">
        <v>276</v>
      </c>
      <c r="I271" s="214">
        <v>68710</v>
      </c>
      <c r="J271" s="213">
        <v>4</v>
      </c>
    </row>
    <row r="272" spans="1:10" x14ac:dyDescent="0.25">
      <c r="A272" s="216" t="s">
        <v>1012</v>
      </c>
      <c r="B272" s="122" t="s">
        <v>285</v>
      </c>
      <c r="C272" s="122" t="s">
        <v>465</v>
      </c>
      <c r="D272" s="122" t="s">
        <v>247</v>
      </c>
      <c r="E272" s="215">
        <v>36977</v>
      </c>
      <c r="F272" s="122" t="str">
        <f t="shared" si="22"/>
        <v>March</v>
      </c>
      <c r="G272" s="122">
        <f t="shared" ca="1" si="23"/>
        <v>15</v>
      </c>
      <c r="I272" s="214">
        <v>68510</v>
      </c>
      <c r="J272" s="213">
        <v>5</v>
      </c>
    </row>
    <row r="273" spans="1:10" x14ac:dyDescent="0.25">
      <c r="A273" s="216" t="s">
        <v>681</v>
      </c>
      <c r="B273" s="122" t="s">
        <v>285</v>
      </c>
      <c r="C273" s="122" t="s">
        <v>465</v>
      </c>
      <c r="D273" s="122" t="s">
        <v>256</v>
      </c>
      <c r="E273" s="215">
        <v>37394</v>
      </c>
      <c r="F273" s="122" t="str">
        <f t="shared" si="22"/>
        <v>May</v>
      </c>
      <c r="G273" s="122">
        <f t="shared" ca="1" si="23"/>
        <v>14</v>
      </c>
      <c r="H273" s="122" t="s">
        <v>257</v>
      </c>
      <c r="I273" s="214">
        <v>28970</v>
      </c>
      <c r="J273" s="213">
        <v>3</v>
      </c>
    </row>
    <row r="274" spans="1:10" x14ac:dyDescent="0.25">
      <c r="A274" s="216" t="s">
        <v>502</v>
      </c>
      <c r="B274" s="122" t="s">
        <v>271</v>
      </c>
      <c r="C274" s="122" t="s">
        <v>465</v>
      </c>
      <c r="D274" s="122" t="s">
        <v>247</v>
      </c>
      <c r="E274" s="215">
        <v>35992</v>
      </c>
      <c r="F274" s="122" t="str">
        <f t="shared" si="22"/>
        <v>July</v>
      </c>
      <c r="G274" s="122">
        <f t="shared" ca="1" si="23"/>
        <v>18</v>
      </c>
      <c r="I274" s="214">
        <v>68260</v>
      </c>
      <c r="J274" s="213">
        <v>5</v>
      </c>
    </row>
    <row r="275" spans="1:10" x14ac:dyDescent="0.25">
      <c r="A275" s="216" t="s">
        <v>538</v>
      </c>
      <c r="B275" s="122" t="s">
        <v>280</v>
      </c>
      <c r="C275" s="122" t="s">
        <v>465</v>
      </c>
      <c r="D275" s="122" t="s">
        <v>247</v>
      </c>
      <c r="E275" s="215">
        <v>34265</v>
      </c>
      <c r="F275" s="122" t="str">
        <f t="shared" si="22"/>
        <v>October</v>
      </c>
      <c r="G275" s="122">
        <f t="shared" ca="1" si="23"/>
        <v>23</v>
      </c>
      <c r="I275" s="214">
        <v>35460</v>
      </c>
      <c r="J275" s="213">
        <v>3</v>
      </c>
    </row>
    <row r="276" spans="1:10" x14ac:dyDescent="0.25">
      <c r="A276" s="216" t="s">
        <v>687</v>
      </c>
      <c r="B276" s="122" t="s">
        <v>245</v>
      </c>
      <c r="C276" s="122" t="s">
        <v>465</v>
      </c>
      <c r="D276" s="122" t="s">
        <v>256</v>
      </c>
      <c r="E276" s="215">
        <v>36444</v>
      </c>
      <c r="F276" s="122" t="str">
        <f t="shared" si="22"/>
        <v>October</v>
      </c>
      <c r="G276" s="122">
        <f t="shared" ca="1" si="23"/>
        <v>17</v>
      </c>
      <c r="H276" s="122" t="s">
        <v>257</v>
      </c>
      <c r="I276" s="214">
        <v>67280</v>
      </c>
      <c r="J276" s="213">
        <v>3</v>
      </c>
    </row>
    <row r="277" spans="1:10" x14ac:dyDescent="0.25">
      <c r="A277" s="216" t="s">
        <v>669</v>
      </c>
      <c r="B277" s="122" t="s">
        <v>285</v>
      </c>
      <c r="C277" s="122" t="s">
        <v>465</v>
      </c>
      <c r="D277" s="122" t="s">
        <v>256</v>
      </c>
      <c r="E277" s="215">
        <v>34971</v>
      </c>
      <c r="F277" s="122" t="str">
        <f t="shared" si="22"/>
        <v>September</v>
      </c>
      <c r="G277" s="122">
        <f t="shared" ca="1" si="23"/>
        <v>21</v>
      </c>
      <c r="H277" s="122" t="s">
        <v>283</v>
      </c>
      <c r="I277" s="214">
        <v>67050</v>
      </c>
      <c r="J277" s="213">
        <v>4</v>
      </c>
    </row>
    <row r="278" spans="1:10" x14ac:dyDescent="0.25">
      <c r="A278" s="216" t="s">
        <v>279</v>
      </c>
      <c r="B278" s="122" t="s">
        <v>285</v>
      </c>
      <c r="C278" s="122" t="s">
        <v>465</v>
      </c>
      <c r="D278" s="122" t="s">
        <v>256</v>
      </c>
      <c r="E278" s="215">
        <v>35703</v>
      </c>
      <c r="F278" s="122" t="str">
        <f t="shared" si="22"/>
        <v>September</v>
      </c>
      <c r="G278" s="122">
        <f t="shared" ca="1" si="23"/>
        <v>19</v>
      </c>
      <c r="H278" s="122" t="s">
        <v>262</v>
      </c>
      <c r="I278" s="214">
        <v>66430</v>
      </c>
      <c r="J278" s="213">
        <v>2</v>
      </c>
    </row>
    <row r="279" spans="1:10" x14ac:dyDescent="0.25">
      <c r="A279" s="216" t="s">
        <v>962</v>
      </c>
      <c r="B279" s="122" t="s">
        <v>285</v>
      </c>
      <c r="C279" s="122" t="s">
        <v>465</v>
      </c>
      <c r="D279" s="122" t="s">
        <v>256</v>
      </c>
      <c r="E279" s="215">
        <v>37068</v>
      </c>
      <c r="F279" s="122" t="str">
        <f t="shared" si="22"/>
        <v>June</v>
      </c>
      <c r="G279" s="122">
        <f t="shared" ca="1" si="23"/>
        <v>15</v>
      </c>
      <c r="H279" s="122" t="s">
        <v>262</v>
      </c>
      <c r="I279" s="214">
        <v>66010</v>
      </c>
      <c r="J279" s="213">
        <v>5</v>
      </c>
    </row>
    <row r="280" spans="1:10" x14ac:dyDescent="0.25">
      <c r="A280" s="216" t="s">
        <v>628</v>
      </c>
      <c r="B280" s="122" t="s">
        <v>271</v>
      </c>
      <c r="C280" s="122" t="s">
        <v>465</v>
      </c>
      <c r="D280" s="122" t="s">
        <v>247</v>
      </c>
      <c r="E280" s="215">
        <v>35379</v>
      </c>
      <c r="F280" s="122" t="str">
        <f t="shared" si="22"/>
        <v>November</v>
      </c>
      <c r="G280" s="122">
        <f t="shared" ca="1" si="23"/>
        <v>20</v>
      </c>
      <c r="I280" s="214">
        <v>66010</v>
      </c>
      <c r="J280" s="213">
        <v>2</v>
      </c>
    </row>
    <row r="281" spans="1:10" x14ac:dyDescent="0.25">
      <c r="A281" s="216" t="s">
        <v>401</v>
      </c>
      <c r="B281" s="122" t="s">
        <v>285</v>
      </c>
      <c r="C281" s="122" t="s">
        <v>465</v>
      </c>
      <c r="D281" s="122" t="s">
        <v>256</v>
      </c>
      <c r="E281" s="215">
        <v>38821</v>
      </c>
      <c r="F281" s="122" t="str">
        <f t="shared" si="22"/>
        <v>April</v>
      </c>
      <c r="G281" s="122">
        <f t="shared" ca="1" si="23"/>
        <v>10</v>
      </c>
      <c r="H281" s="122" t="s">
        <v>283</v>
      </c>
      <c r="I281" s="214">
        <v>65720</v>
      </c>
      <c r="J281" s="213">
        <v>1</v>
      </c>
    </row>
    <row r="282" spans="1:10" x14ac:dyDescent="0.25">
      <c r="A282" s="216" t="s">
        <v>782</v>
      </c>
      <c r="B282" s="122" t="s">
        <v>271</v>
      </c>
      <c r="C282" s="122" t="s">
        <v>465</v>
      </c>
      <c r="D282" s="122" t="s">
        <v>256</v>
      </c>
      <c r="E282" s="215">
        <v>40634</v>
      </c>
      <c r="F282" s="122" t="str">
        <f t="shared" si="22"/>
        <v>April</v>
      </c>
      <c r="G282" s="122">
        <f t="shared" ca="1" si="23"/>
        <v>5</v>
      </c>
      <c r="H282" s="122" t="s">
        <v>257</v>
      </c>
      <c r="I282" s="214">
        <v>47440</v>
      </c>
      <c r="J282" s="213">
        <v>3</v>
      </c>
    </row>
    <row r="283" spans="1:10" x14ac:dyDescent="0.25">
      <c r="A283" s="216" t="s">
        <v>410</v>
      </c>
      <c r="B283" s="122" t="s">
        <v>271</v>
      </c>
      <c r="C283" s="122" t="s">
        <v>465</v>
      </c>
      <c r="D283" s="122" t="s">
        <v>256</v>
      </c>
      <c r="E283" s="215">
        <v>35188</v>
      </c>
      <c r="F283" s="122" t="str">
        <f t="shared" si="22"/>
        <v>May</v>
      </c>
      <c r="G283" s="122">
        <f t="shared" ca="1" si="23"/>
        <v>20</v>
      </c>
      <c r="H283" s="122" t="s">
        <v>283</v>
      </c>
      <c r="I283" s="214">
        <v>44270</v>
      </c>
      <c r="J283" s="213">
        <v>2</v>
      </c>
    </row>
    <row r="284" spans="1:10" x14ac:dyDescent="0.25">
      <c r="A284" s="216" t="s">
        <v>537</v>
      </c>
      <c r="B284" s="122" t="s">
        <v>271</v>
      </c>
      <c r="C284" s="122" t="s">
        <v>465</v>
      </c>
      <c r="D284" s="122" t="s">
        <v>256</v>
      </c>
      <c r="E284" s="215">
        <v>33993</v>
      </c>
      <c r="F284" s="122" t="str">
        <f t="shared" si="22"/>
        <v>January</v>
      </c>
      <c r="G284" s="122">
        <f t="shared" ca="1" si="23"/>
        <v>23</v>
      </c>
      <c r="H284" s="122" t="s">
        <v>283</v>
      </c>
      <c r="I284" s="214">
        <v>45500</v>
      </c>
      <c r="J284" s="213">
        <v>3</v>
      </c>
    </row>
    <row r="285" spans="1:10" x14ac:dyDescent="0.25">
      <c r="A285" s="216" t="s">
        <v>559</v>
      </c>
      <c r="B285" s="122" t="s">
        <v>245</v>
      </c>
      <c r="C285" s="122" t="s">
        <v>465</v>
      </c>
      <c r="D285" s="122" t="s">
        <v>261</v>
      </c>
      <c r="E285" s="215">
        <v>34163</v>
      </c>
      <c r="F285" s="122" t="str">
        <f t="shared" si="22"/>
        <v>July</v>
      </c>
      <c r="G285" s="122">
        <f t="shared" ca="1" si="23"/>
        <v>23</v>
      </c>
      <c r="H285" s="122" t="s">
        <v>262</v>
      </c>
      <c r="I285" s="214">
        <v>18895</v>
      </c>
      <c r="J285" s="213">
        <v>4</v>
      </c>
    </row>
    <row r="286" spans="1:10" x14ac:dyDescent="0.25">
      <c r="A286" s="216" t="s">
        <v>316</v>
      </c>
      <c r="B286" s="122" t="s">
        <v>251</v>
      </c>
      <c r="C286" s="122" t="s">
        <v>465</v>
      </c>
      <c r="D286" s="122" t="s">
        <v>247</v>
      </c>
      <c r="E286" s="215">
        <v>34031</v>
      </c>
      <c r="F286" s="122" t="str">
        <f t="shared" si="22"/>
        <v>March</v>
      </c>
      <c r="G286" s="122">
        <f t="shared" ca="1" si="23"/>
        <v>23</v>
      </c>
      <c r="I286" s="214">
        <v>64430</v>
      </c>
      <c r="J286" s="213">
        <v>4</v>
      </c>
    </row>
    <row r="287" spans="1:10" x14ac:dyDescent="0.25">
      <c r="A287" s="216" t="s">
        <v>929</v>
      </c>
      <c r="B287" s="122" t="s">
        <v>266</v>
      </c>
      <c r="C287" s="122" t="s">
        <v>465</v>
      </c>
      <c r="D287" s="122" t="s">
        <v>247</v>
      </c>
      <c r="E287" s="215">
        <v>37899</v>
      </c>
      <c r="F287" s="122" t="str">
        <f t="shared" si="22"/>
        <v>October</v>
      </c>
      <c r="G287" s="122">
        <f t="shared" ca="1" si="23"/>
        <v>13</v>
      </c>
      <c r="I287" s="214">
        <v>64220</v>
      </c>
      <c r="J287" s="213">
        <v>5</v>
      </c>
    </row>
    <row r="288" spans="1:10" x14ac:dyDescent="0.25">
      <c r="A288" s="216" t="s">
        <v>608</v>
      </c>
      <c r="B288" s="122" t="s">
        <v>271</v>
      </c>
      <c r="C288" s="122" t="s">
        <v>465</v>
      </c>
      <c r="D288" s="122" t="s">
        <v>256</v>
      </c>
      <c r="E288" s="215">
        <v>37436</v>
      </c>
      <c r="F288" s="122" t="str">
        <f t="shared" si="22"/>
        <v>June</v>
      </c>
      <c r="G288" s="122">
        <f t="shared" ca="1" si="23"/>
        <v>14</v>
      </c>
      <c r="H288" s="122" t="s">
        <v>267</v>
      </c>
      <c r="I288" s="214">
        <v>64130</v>
      </c>
      <c r="J288" s="213">
        <v>1</v>
      </c>
    </row>
    <row r="289" spans="1:10" x14ac:dyDescent="0.25">
      <c r="A289" s="216" t="s">
        <v>1018</v>
      </c>
      <c r="B289" s="122" t="s">
        <v>285</v>
      </c>
      <c r="C289" s="122" t="s">
        <v>465</v>
      </c>
      <c r="D289" s="122" t="s">
        <v>247</v>
      </c>
      <c r="E289" s="215">
        <v>39189</v>
      </c>
      <c r="F289" s="122" t="str">
        <f t="shared" si="22"/>
        <v>April</v>
      </c>
      <c r="G289" s="122">
        <f t="shared" ca="1" si="23"/>
        <v>9</v>
      </c>
      <c r="I289" s="214">
        <v>63850</v>
      </c>
      <c r="J289" s="213">
        <v>2</v>
      </c>
    </row>
    <row r="290" spans="1:10" x14ac:dyDescent="0.25">
      <c r="A290" s="216" t="s">
        <v>592</v>
      </c>
      <c r="B290" s="122" t="s">
        <v>280</v>
      </c>
      <c r="C290" s="122" t="s">
        <v>465</v>
      </c>
      <c r="D290" s="122" t="s">
        <v>247</v>
      </c>
      <c r="E290" s="215">
        <v>36600</v>
      </c>
      <c r="F290" s="122" t="str">
        <f t="shared" si="22"/>
        <v>March</v>
      </c>
      <c r="G290" s="122">
        <f t="shared" ca="1" si="23"/>
        <v>16</v>
      </c>
      <c r="I290" s="214">
        <v>41840</v>
      </c>
      <c r="J290" s="213">
        <v>2</v>
      </c>
    </row>
    <row r="291" spans="1:10" x14ac:dyDescent="0.25">
      <c r="A291" s="216" t="s">
        <v>663</v>
      </c>
      <c r="B291" s="122" t="s">
        <v>285</v>
      </c>
      <c r="C291" s="122" t="s">
        <v>465</v>
      </c>
      <c r="D291" s="122" t="s">
        <v>261</v>
      </c>
      <c r="E291" s="215">
        <v>35189</v>
      </c>
      <c r="F291" s="122" t="str">
        <f t="shared" si="22"/>
        <v>May</v>
      </c>
      <c r="G291" s="122">
        <f t="shared" ca="1" si="23"/>
        <v>20</v>
      </c>
      <c r="H291" s="122" t="s">
        <v>257</v>
      </c>
      <c r="I291" s="214">
        <v>46285</v>
      </c>
      <c r="J291" s="213">
        <v>5</v>
      </c>
    </row>
    <row r="292" spans="1:10" x14ac:dyDescent="0.25">
      <c r="A292" s="216" t="s">
        <v>882</v>
      </c>
      <c r="B292" s="122" t="s">
        <v>271</v>
      </c>
      <c r="C292" s="122" t="s">
        <v>465</v>
      </c>
      <c r="D292" s="122" t="s">
        <v>256</v>
      </c>
      <c r="E292" s="215">
        <v>35996</v>
      </c>
      <c r="F292" s="122" t="str">
        <f t="shared" ref="F292:F323" si="24">CHOOSE(MONTH(E292),"January","February","March","April","May","June","July","August","September","October","November","December")</f>
        <v>July</v>
      </c>
      <c r="G292" s="122">
        <f t="shared" ref="G292:G323" ca="1" si="25">DATEDIF(E292,TODAY(),"Y")</f>
        <v>18</v>
      </c>
      <c r="H292" s="122" t="s">
        <v>257</v>
      </c>
      <c r="I292" s="214">
        <v>40340</v>
      </c>
      <c r="J292" s="213">
        <v>2</v>
      </c>
    </row>
    <row r="293" spans="1:10" x14ac:dyDescent="0.25">
      <c r="A293" s="216" t="s">
        <v>604</v>
      </c>
      <c r="B293" s="122" t="s">
        <v>271</v>
      </c>
      <c r="C293" s="122" t="s">
        <v>465</v>
      </c>
      <c r="D293" s="122" t="s">
        <v>261</v>
      </c>
      <c r="E293" s="215">
        <v>36503</v>
      </c>
      <c r="F293" s="122" t="str">
        <f t="shared" si="24"/>
        <v>December</v>
      </c>
      <c r="G293" s="122">
        <f t="shared" ca="1" si="25"/>
        <v>16</v>
      </c>
      <c r="H293" s="122" t="s">
        <v>267</v>
      </c>
      <c r="I293" s="214">
        <v>41615</v>
      </c>
      <c r="J293" s="213">
        <v>1</v>
      </c>
    </row>
    <row r="294" spans="1:10" x14ac:dyDescent="0.25">
      <c r="A294" s="216" t="s">
        <v>772</v>
      </c>
      <c r="B294" s="122" t="s">
        <v>285</v>
      </c>
      <c r="C294" s="122" t="s">
        <v>465</v>
      </c>
      <c r="D294" s="122" t="s">
        <v>247</v>
      </c>
      <c r="E294" s="215">
        <v>36729</v>
      </c>
      <c r="F294" s="122" t="str">
        <f t="shared" si="24"/>
        <v>July</v>
      </c>
      <c r="G294" s="122">
        <f t="shared" ca="1" si="25"/>
        <v>16</v>
      </c>
      <c r="I294" s="214">
        <v>45420</v>
      </c>
      <c r="J294" s="213">
        <v>1</v>
      </c>
    </row>
    <row r="295" spans="1:10" x14ac:dyDescent="0.25">
      <c r="A295" s="216" t="s">
        <v>346</v>
      </c>
      <c r="B295" s="122" t="s">
        <v>271</v>
      </c>
      <c r="C295" s="122" t="s">
        <v>465</v>
      </c>
      <c r="D295" s="122" t="s">
        <v>247</v>
      </c>
      <c r="E295" s="215">
        <v>34425</v>
      </c>
      <c r="F295" s="122" t="str">
        <f t="shared" si="24"/>
        <v>April</v>
      </c>
      <c r="G295" s="122">
        <f t="shared" ca="1" si="25"/>
        <v>22</v>
      </c>
      <c r="I295" s="214">
        <v>63310</v>
      </c>
      <c r="J295" s="213">
        <v>3</v>
      </c>
    </row>
    <row r="296" spans="1:10" x14ac:dyDescent="0.25">
      <c r="A296" s="216" t="s">
        <v>964</v>
      </c>
      <c r="B296" s="122" t="s">
        <v>245</v>
      </c>
      <c r="C296" s="122" t="s">
        <v>465</v>
      </c>
      <c r="D296" s="122" t="s">
        <v>256</v>
      </c>
      <c r="E296" s="215">
        <v>34541</v>
      </c>
      <c r="F296" s="122" t="str">
        <f t="shared" si="24"/>
        <v>July</v>
      </c>
      <c r="G296" s="122">
        <f t="shared" ca="1" si="25"/>
        <v>22</v>
      </c>
      <c r="H296" s="122" t="s">
        <v>276</v>
      </c>
      <c r="I296" s="214">
        <v>34480</v>
      </c>
      <c r="J296" s="213">
        <v>3</v>
      </c>
    </row>
    <row r="297" spans="1:10" x14ac:dyDescent="0.25">
      <c r="A297" s="216" t="s">
        <v>785</v>
      </c>
      <c r="B297" s="122" t="s">
        <v>285</v>
      </c>
      <c r="C297" s="122" t="s">
        <v>465</v>
      </c>
      <c r="D297" s="122" t="s">
        <v>256</v>
      </c>
      <c r="E297" s="215">
        <v>34881</v>
      </c>
      <c r="F297" s="122" t="str">
        <f t="shared" si="24"/>
        <v>July</v>
      </c>
      <c r="G297" s="122">
        <f t="shared" ca="1" si="25"/>
        <v>21</v>
      </c>
      <c r="H297" s="122" t="s">
        <v>262</v>
      </c>
      <c r="I297" s="214">
        <v>63070</v>
      </c>
      <c r="J297" s="213">
        <v>1</v>
      </c>
    </row>
    <row r="298" spans="1:10" x14ac:dyDescent="0.25">
      <c r="A298" s="216" t="s">
        <v>845</v>
      </c>
      <c r="B298" s="122" t="s">
        <v>280</v>
      </c>
      <c r="C298" s="122" t="s">
        <v>465</v>
      </c>
      <c r="D298" s="122" t="s">
        <v>247</v>
      </c>
      <c r="E298" s="215">
        <v>36011</v>
      </c>
      <c r="F298" s="122" t="str">
        <f t="shared" si="24"/>
        <v>August</v>
      </c>
      <c r="G298" s="122">
        <f t="shared" ca="1" si="25"/>
        <v>18</v>
      </c>
      <c r="I298" s="214">
        <v>45050</v>
      </c>
      <c r="J298" s="213">
        <v>1</v>
      </c>
    </row>
    <row r="299" spans="1:10" x14ac:dyDescent="0.25">
      <c r="A299" s="216" t="s">
        <v>825</v>
      </c>
      <c r="B299" s="122" t="s">
        <v>245</v>
      </c>
      <c r="C299" s="122" t="s">
        <v>465</v>
      </c>
      <c r="D299" s="122" t="s">
        <v>247</v>
      </c>
      <c r="E299" s="215">
        <v>39538</v>
      </c>
      <c r="F299" s="122" t="str">
        <f t="shared" si="24"/>
        <v>March</v>
      </c>
      <c r="G299" s="122">
        <f t="shared" ca="1" si="25"/>
        <v>8</v>
      </c>
      <c r="I299" s="214">
        <v>62780</v>
      </c>
      <c r="J299" s="213">
        <v>4</v>
      </c>
    </row>
    <row r="300" spans="1:10" x14ac:dyDescent="0.25">
      <c r="A300" s="216" t="s">
        <v>440</v>
      </c>
      <c r="B300" s="122" t="s">
        <v>271</v>
      </c>
      <c r="C300" s="122" t="s">
        <v>465</v>
      </c>
      <c r="D300" s="122" t="s">
        <v>256</v>
      </c>
      <c r="E300" s="215">
        <v>37331</v>
      </c>
      <c r="F300" s="122" t="str">
        <f t="shared" si="24"/>
        <v>March</v>
      </c>
      <c r="G300" s="122">
        <f t="shared" ca="1" si="25"/>
        <v>14</v>
      </c>
      <c r="H300" s="122" t="s">
        <v>283</v>
      </c>
      <c r="I300" s="214">
        <v>62750</v>
      </c>
      <c r="J300" s="213">
        <v>3</v>
      </c>
    </row>
    <row r="301" spans="1:10" x14ac:dyDescent="0.25">
      <c r="A301" s="216" t="s">
        <v>792</v>
      </c>
      <c r="B301" s="122" t="s">
        <v>285</v>
      </c>
      <c r="C301" s="122" t="s">
        <v>465</v>
      </c>
      <c r="D301" s="122" t="s">
        <v>261</v>
      </c>
      <c r="E301" s="215">
        <v>36360</v>
      </c>
      <c r="F301" s="122" t="str">
        <f t="shared" si="24"/>
        <v>July</v>
      </c>
      <c r="G301" s="122">
        <f t="shared" ca="1" si="25"/>
        <v>17</v>
      </c>
      <c r="H301" s="122" t="s">
        <v>283</v>
      </c>
      <c r="I301" s="214">
        <v>11065</v>
      </c>
      <c r="J301" s="213">
        <v>1</v>
      </c>
    </row>
    <row r="302" spans="1:10" x14ac:dyDescent="0.25">
      <c r="A302" s="216" t="s">
        <v>328</v>
      </c>
      <c r="B302" s="122" t="s">
        <v>285</v>
      </c>
      <c r="C302" s="122" t="s">
        <v>465</v>
      </c>
      <c r="D302" s="122" t="s">
        <v>247</v>
      </c>
      <c r="E302" s="215">
        <v>37634</v>
      </c>
      <c r="F302" s="122" t="str">
        <f t="shared" si="24"/>
        <v>January</v>
      </c>
      <c r="G302" s="122">
        <f t="shared" ca="1" si="25"/>
        <v>13</v>
      </c>
      <c r="I302" s="214">
        <v>61370</v>
      </c>
      <c r="J302" s="213">
        <v>3</v>
      </c>
    </row>
    <row r="303" spans="1:10" x14ac:dyDescent="0.25">
      <c r="A303" s="216" t="s">
        <v>492</v>
      </c>
      <c r="B303" s="122" t="s">
        <v>271</v>
      </c>
      <c r="C303" s="122" t="s">
        <v>465</v>
      </c>
      <c r="D303" s="122" t="s">
        <v>256</v>
      </c>
      <c r="E303" s="215">
        <v>36273</v>
      </c>
      <c r="F303" s="122" t="str">
        <f t="shared" si="24"/>
        <v>April</v>
      </c>
      <c r="G303" s="122">
        <f t="shared" ca="1" si="25"/>
        <v>17</v>
      </c>
      <c r="H303" s="122" t="s">
        <v>283</v>
      </c>
      <c r="I303" s="214">
        <v>61330</v>
      </c>
      <c r="J303" s="213">
        <v>4</v>
      </c>
    </row>
    <row r="304" spans="1:10" x14ac:dyDescent="0.25">
      <c r="A304" s="216" t="s">
        <v>294</v>
      </c>
      <c r="B304" s="122" t="s">
        <v>245</v>
      </c>
      <c r="C304" s="122" t="s">
        <v>465</v>
      </c>
      <c r="D304" s="122" t="s">
        <v>256</v>
      </c>
      <c r="E304" s="215">
        <v>38146</v>
      </c>
      <c r="F304" s="122" t="str">
        <f t="shared" si="24"/>
        <v>June</v>
      </c>
      <c r="G304" s="122">
        <f t="shared" ca="1" si="25"/>
        <v>12</v>
      </c>
      <c r="H304" s="122" t="s">
        <v>257</v>
      </c>
      <c r="I304" s="214">
        <v>47340</v>
      </c>
      <c r="J304" s="213">
        <v>2</v>
      </c>
    </row>
    <row r="305" spans="1:10" x14ac:dyDescent="0.25">
      <c r="A305" s="216" t="s">
        <v>515</v>
      </c>
      <c r="B305" s="122" t="s">
        <v>251</v>
      </c>
      <c r="C305" s="122" t="s">
        <v>465</v>
      </c>
      <c r="D305" s="122" t="s">
        <v>256</v>
      </c>
      <c r="E305" s="215">
        <v>35591</v>
      </c>
      <c r="F305" s="122" t="str">
        <f t="shared" si="24"/>
        <v>June</v>
      </c>
      <c r="G305" s="122">
        <f t="shared" ca="1" si="25"/>
        <v>19</v>
      </c>
      <c r="H305" s="122" t="s">
        <v>283</v>
      </c>
      <c r="I305" s="214">
        <v>61150</v>
      </c>
      <c r="J305" s="213">
        <v>2</v>
      </c>
    </row>
    <row r="306" spans="1:10" x14ac:dyDescent="0.25">
      <c r="A306" s="216" t="s">
        <v>902</v>
      </c>
      <c r="B306" s="122" t="s">
        <v>285</v>
      </c>
      <c r="C306" s="122" t="s">
        <v>465</v>
      </c>
      <c r="D306" s="122" t="s">
        <v>256</v>
      </c>
      <c r="E306" s="215">
        <v>38664</v>
      </c>
      <c r="F306" s="122" t="str">
        <f t="shared" si="24"/>
        <v>November</v>
      </c>
      <c r="G306" s="122">
        <f t="shared" ca="1" si="25"/>
        <v>11</v>
      </c>
      <c r="H306" s="122" t="s">
        <v>257</v>
      </c>
      <c r="I306" s="214">
        <v>61060</v>
      </c>
      <c r="J306" s="213">
        <v>5</v>
      </c>
    </row>
    <row r="307" spans="1:10" x14ac:dyDescent="0.25">
      <c r="A307" s="216" t="s">
        <v>775</v>
      </c>
      <c r="B307" s="122" t="s">
        <v>280</v>
      </c>
      <c r="C307" s="122" t="s">
        <v>465</v>
      </c>
      <c r="D307" s="122" t="s">
        <v>256</v>
      </c>
      <c r="E307" s="215">
        <v>35529</v>
      </c>
      <c r="F307" s="122" t="str">
        <f t="shared" si="24"/>
        <v>April</v>
      </c>
      <c r="G307" s="122">
        <f t="shared" ca="1" si="25"/>
        <v>19</v>
      </c>
      <c r="H307" s="122" t="s">
        <v>267</v>
      </c>
      <c r="I307" s="214">
        <v>44920</v>
      </c>
      <c r="J307" s="213">
        <v>1</v>
      </c>
    </row>
    <row r="308" spans="1:10" x14ac:dyDescent="0.25">
      <c r="A308" s="216" t="s">
        <v>525</v>
      </c>
      <c r="B308" s="122" t="s">
        <v>280</v>
      </c>
      <c r="C308" s="122" t="s">
        <v>465</v>
      </c>
      <c r="D308" s="122" t="s">
        <v>252</v>
      </c>
      <c r="E308" s="215">
        <v>33751</v>
      </c>
      <c r="F308" s="122" t="str">
        <f t="shared" si="24"/>
        <v>May</v>
      </c>
      <c r="G308" s="122">
        <f t="shared" ca="1" si="25"/>
        <v>24</v>
      </c>
      <c r="I308" s="214">
        <v>22344</v>
      </c>
      <c r="J308" s="213">
        <v>4</v>
      </c>
    </row>
    <row r="309" spans="1:10" x14ac:dyDescent="0.25">
      <c r="A309" s="216" t="s">
        <v>588</v>
      </c>
      <c r="B309" s="122" t="s">
        <v>271</v>
      </c>
      <c r="C309" s="122" t="s">
        <v>465</v>
      </c>
      <c r="D309" s="122" t="s">
        <v>256</v>
      </c>
      <c r="E309" s="215">
        <v>33648</v>
      </c>
      <c r="F309" s="122" t="str">
        <f t="shared" si="24"/>
        <v>February</v>
      </c>
      <c r="G309" s="122">
        <f t="shared" ca="1" si="25"/>
        <v>24</v>
      </c>
      <c r="H309" s="122" t="s">
        <v>276</v>
      </c>
      <c r="I309" s="214">
        <v>60380</v>
      </c>
      <c r="J309" s="213">
        <v>4</v>
      </c>
    </row>
    <row r="310" spans="1:10" x14ac:dyDescent="0.25">
      <c r="A310" s="216" t="s">
        <v>710</v>
      </c>
      <c r="B310" s="122" t="s">
        <v>271</v>
      </c>
      <c r="C310" s="122" t="s">
        <v>465</v>
      </c>
      <c r="D310" s="122" t="s">
        <v>256</v>
      </c>
      <c r="E310" s="215">
        <v>35589</v>
      </c>
      <c r="F310" s="122" t="str">
        <f t="shared" si="24"/>
        <v>June</v>
      </c>
      <c r="G310" s="122">
        <f t="shared" ca="1" si="25"/>
        <v>19</v>
      </c>
      <c r="H310" s="122" t="s">
        <v>257</v>
      </c>
      <c r="I310" s="214">
        <v>60280</v>
      </c>
      <c r="J310" s="213">
        <v>1</v>
      </c>
    </row>
    <row r="311" spans="1:10" x14ac:dyDescent="0.25">
      <c r="A311" s="216" t="s">
        <v>756</v>
      </c>
      <c r="B311" s="122" t="s">
        <v>271</v>
      </c>
      <c r="C311" s="122" t="s">
        <v>465</v>
      </c>
      <c r="D311" s="122" t="s">
        <v>256</v>
      </c>
      <c r="E311" s="215">
        <v>35695</v>
      </c>
      <c r="F311" s="122" t="str">
        <f t="shared" si="24"/>
        <v>September</v>
      </c>
      <c r="G311" s="122">
        <f t="shared" ca="1" si="25"/>
        <v>19</v>
      </c>
      <c r="H311" s="122" t="s">
        <v>257</v>
      </c>
      <c r="I311" s="214">
        <v>60100</v>
      </c>
      <c r="J311" s="213">
        <v>1</v>
      </c>
    </row>
    <row r="312" spans="1:10" x14ac:dyDescent="0.25">
      <c r="A312" s="216" t="s">
        <v>519</v>
      </c>
      <c r="B312" s="122" t="s">
        <v>271</v>
      </c>
      <c r="C312" s="122" t="s">
        <v>465</v>
      </c>
      <c r="D312" s="122" t="s">
        <v>247</v>
      </c>
      <c r="E312" s="215">
        <v>35451</v>
      </c>
      <c r="F312" s="122" t="str">
        <f t="shared" si="24"/>
        <v>January</v>
      </c>
      <c r="G312" s="122">
        <f t="shared" ca="1" si="25"/>
        <v>19</v>
      </c>
      <c r="I312" s="214">
        <v>42150</v>
      </c>
      <c r="J312" s="213">
        <v>5</v>
      </c>
    </row>
    <row r="313" spans="1:10" x14ac:dyDescent="0.25">
      <c r="A313" s="216" t="s">
        <v>714</v>
      </c>
      <c r="B313" s="122" t="s">
        <v>266</v>
      </c>
      <c r="C313" s="122" t="s">
        <v>465</v>
      </c>
      <c r="D313" s="122" t="s">
        <v>247</v>
      </c>
      <c r="E313" s="215">
        <v>36350</v>
      </c>
      <c r="F313" s="122" t="str">
        <f t="shared" si="24"/>
        <v>July</v>
      </c>
      <c r="G313" s="122">
        <f t="shared" ca="1" si="25"/>
        <v>17</v>
      </c>
      <c r="I313" s="214">
        <v>27380</v>
      </c>
      <c r="J313" s="213">
        <v>3</v>
      </c>
    </row>
    <row r="314" spans="1:10" x14ac:dyDescent="0.25">
      <c r="A314" s="216" t="s">
        <v>809</v>
      </c>
      <c r="B314" s="122" t="s">
        <v>271</v>
      </c>
      <c r="C314" s="122" t="s">
        <v>465</v>
      </c>
      <c r="D314" s="122" t="s">
        <v>247</v>
      </c>
      <c r="E314" s="215">
        <v>34149</v>
      </c>
      <c r="F314" s="122" t="str">
        <f t="shared" si="24"/>
        <v>June</v>
      </c>
      <c r="G314" s="122">
        <f t="shared" ca="1" si="25"/>
        <v>23</v>
      </c>
      <c r="I314" s="214">
        <v>45770</v>
      </c>
      <c r="J314" s="213">
        <v>5</v>
      </c>
    </row>
    <row r="315" spans="1:10" x14ac:dyDescent="0.25">
      <c r="A315" s="216" t="s">
        <v>616</v>
      </c>
      <c r="B315" s="122" t="s">
        <v>245</v>
      </c>
      <c r="C315" s="122" t="s">
        <v>465</v>
      </c>
      <c r="D315" s="122" t="s">
        <v>247</v>
      </c>
      <c r="E315" s="215">
        <v>39822</v>
      </c>
      <c r="F315" s="122" t="str">
        <f t="shared" si="24"/>
        <v>January</v>
      </c>
      <c r="G315" s="122">
        <f t="shared" ca="1" si="25"/>
        <v>7</v>
      </c>
      <c r="I315" s="214">
        <v>60040</v>
      </c>
      <c r="J315" s="213">
        <v>5</v>
      </c>
    </row>
    <row r="316" spans="1:10" x14ac:dyDescent="0.25">
      <c r="A316" s="216" t="s">
        <v>341</v>
      </c>
      <c r="B316" s="122" t="s">
        <v>266</v>
      </c>
      <c r="C316" s="122" t="s">
        <v>465</v>
      </c>
      <c r="D316" s="122" t="s">
        <v>256</v>
      </c>
      <c r="E316" s="215">
        <v>39455</v>
      </c>
      <c r="F316" s="122" t="str">
        <f t="shared" si="24"/>
        <v>January</v>
      </c>
      <c r="G316" s="122">
        <f t="shared" ca="1" si="25"/>
        <v>8</v>
      </c>
      <c r="H316" s="122" t="s">
        <v>283</v>
      </c>
      <c r="I316" s="214">
        <v>59420</v>
      </c>
      <c r="J316" s="213">
        <v>4</v>
      </c>
    </row>
    <row r="317" spans="1:10" x14ac:dyDescent="0.25">
      <c r="A317" s="216" t="s">
        <v>1470</v>
      </c>
      <c r="B317" s="122" t="s">
        <v>266</v>
      </c>
      <c r="C317" s="122" t="s">
        <v>465</v>
      </c>
      <c r="D317" s="122" t="s">
        <v>247</v>
      </c>
      <c r="E317" s="215">
        <v>35360</v>
      </c>
      <c r="F317" s="122" t="str">
        <f t="shared" si="24"/>
        <v>October</v>
      </c>
      <c r="G317" s="122">
        <f t="shared" ca="1" si="25"/>
        <v>20</v>
      </c>
      <c r="I317" s="214">
        <v>28260</v>
      </c>
      <c r="J317" s="213">
        <v>5</v>
      </c>
    </row>
    <row r="318" spans="1:10" x14ac:dyDescent="0.25">
      <c r="A318" s="216" t="s">
        <v>966</v>
      </c>
      <c r="B318" s="122" t="s">
        <v>280</v>
      </c>
      <c r="C318" s="122" t="s">
        <v>465</v>
      </c>
      <c r="D318" s="122" t="s">
        <v>247</v>
      </c>
      <c r="E318" s="215">
        <v>38874</v>
      </c>
      <c r="F318" s="122" t="str">
        <f t="shared" si="24"/>
        <v>June</v>
      </c>
      <c r="G318" s="122">
        <f t="shared" ca="1" si="25"/>
        <v>10</v>
      </c>
      <c r="I318" s="214">
        <v>59330</v>
      </c>
      <c r="J318" s="213">
        <v>4</v>
      </c>
    </row>
    <row r="319" spans="1:10" x14ac:dyDescent="0.25">
      <c r="A319" s="216" t="s">
        <v>527</v>
      </c>
      <c r="B319" s="122" t="s">
        <v>266</v>
      </c>
      <c r="C319" s="122" t="s">
        <v>465</v>
      </c>
      <c r="D319" s="122" t="s">
        <v>256</v>
      </c>
      <c r="E319" s="215">
        <v>35361</v>
      </c>
      <c r="F319" s="122" t="str">
        <f t="shared" si="24"/>
        <v>October</v>
      </c>
      <c r="G319" s="122">
        <f t="shared" ca="1" si="25"/>
        <v>20</v>
      </c>
      <c r="H319" s="122" t="s">
        <v>257</v>
      </c>
      <c r="I319" s="214">
        <v>59320</v>
      </c>
      <c r="J319" s="213">
        <v>4</v>
      </c>
    </row>
    <row r="320" spans="1:10" x14ac:dyDescent="0.25">
      <c r="A320" s="216" t="s">
        <v>560</v>
      </c>
      <c r="B320" s="122" t="s">
        <v>280</v>
      </c>
      <c r="C320" s="122" t="s">
        <v>465</v>
      </c>
      <c r="D320" s="122" t="s">
        <v>256</v>
      </c>
      <c r="E320" s="215">
        <v>34068</v>
      </c>
      <c r="F320" s="122" t="str">
        <f t="shared" si="24"/>
        <v>April</v>
      </c>
      <c r="G320" s="122">
        <f t="shared" ca="1" si="25"/>
        <v>23</v>
      </c>
      <c r="H320" s="122" t="s">
        <v>283</v>
      </c>
      <c r="I320" s="214">
        <v>23330</v>
      </c>
      <c r="J320" s="213">
        <v>4</v>
      </c>
    </row>
    <row r="321" spans="1:10" x14ac:dyDescent="0.25">
      <c r="A321" s="216" t="s">
        <v>979</v>
      </c>
      <c r="B321" s="122" t="s">
        <v>271</v>
      </c>
      <c r="C321" s="122" t="s">
        <v>465</v>
      </c>
      <c r="D321" s="122" t="s">
        <v>256</v>
      </c>
      <c r="E321" s="215">
        <v>40270</v>
      </c>
      <c r="F321" s="122" t="str">
        <f t="shared" si="24"/>
        <v>April</v>
      </c>
      <c r="G321" s="122">
        <f t="shared" ca="1" si="25"/>
        <v>6</v>
      </c>
      <c r="H321" s="122" t="s">
        <v>283</v>
      </c>
      <c r="I321" s="214">
        <v>35300</v>
      </c>
      <c r="J321" s="213">
        <v>5</v>
      </c>
    </row>
    <row r="322" spans="1:10" x14ac:dyDescent="0.25">
      <c r="A322" s="216" t="s">
        <v>876</v>
      </c>
      <c r="B322" s="122" t="s">
        <v>251</v>
      </c>
      <c r="C322" s="122" t="s">
        <v>465</v>
      </c>
      <c r="D322" s="122" t="s">
        <v>256</v>
      </c>
      <c r="E322" s="215">
        <v>34785</v>
      </c>
      <c r="F322" s="122" t="str">
        <f t="shared" si="24"/>
        <v>March</v>
      </c>
      <c r="G322" s="122">
        <f t="shared" ca="1" si="25"/>
        <v>21</v>
      </c>
      <c r="H322" s="122" t="s">
        <v>257</v>
      </c>
      <c r="I322" s="214">
        <v>24300</v>
      </c>
      <c r="J322" s="213">
        <v>3</v>
      </c>
    </row>
    <row r="323" spans="1:10" x14ac:dyDescent="0.25">
      <c r="A323" s="216" t="s">
        <v>574</v>
      </c>
      <c r="B323" s="122" t="s">
        <v>280</v>
      </c>
      <c r="C323" s="122" t="s">
        <v>465</v>
      </c>
      <c r="D323" s="122" t="s">
        <v>247</v>
      </c>
      <c r="E323" s="215">
        <v>36283</v>
      </c>
      <c r="F323" s="122" t="str">
        <f t="shared" si="24"/>
        <v>May</v>
      </c>
      <c r="G323" s="122">
        <f t="shared" ca="1" si="25"/>
        <v>17</v>
      </c>
      <c r="I323" s="214">
        <v>25130</v>
      </c>
      <c r="J323" s="213">
        <v>5</v>
      </c>
    </row>
    <row r="324" spans="1:10" x14ac:dyDescent="0.25">
      <c r="A324" s="216" t="s">
        <v>674</v>
      </c>
      <c r="B324" s="122" t="s">
        <v>280</v>
      </c>
      <c r="C324" s="122" t="s">
        <v>465</v>
      </c>
      <c r="D324" s="122" t="s">
        <v>256</v>
      </c>
      <c r="E324" s="215">
        <v>37229</v>
      </c>
      <c r="F324" s="122" t="str">
        <f t="shared" ref="F324:F346" si="26">CHOOSE(MONTH(E324),"January","February","March","April","May","June","July","August","September","October","November","December")</f>
        <v>December</v>
      </c>
      <c r="G324" s="122">
        <f t="shared" ref="G324:G346" ca="1" si="27">DATEDIF(E324,TODAY(),"Y")</f>
        <v>14</v>
      </c>
      <c r="H324" s="122" t="s">
        <v>283</v>
      </c>
      <c r="I324" s="214">
        <v>25310</v>
      </c>
      <c r="J324" s="213">
        <v>4</v>
      </c>
    </row>
    <row r="325" spans="1:10" x14ac:dyDescent="0.25">
      <c r="A325" s="216" t="s">
        <v>799</v>
      </c>
      <c r="B325" s="122" t="s">
        <v>285</v>
      </c>
      <c r="C325" s="122" t="s">
        <v>465</v>
      </c>
      <c r="D325" s="122" t="s">
        <v>256</v>
      </c>
      <c r="E325" s="215">
        <v>36431</v>
      </c>
      <c r="F325" s="122" t="str">
        <f t="shared" si="26"/>
        <v>September</v>
      </c>
      <c r="G325" s="122">
        <f t="shared" ca="1" si="27"/>
        <v>17</v>
      </c>
      <c r="H325" s="122" t="s">
        <v>257</v>
      </c>
      <c r="I325" s="214">
        <v>35820</v>
      </c>
      <c r="J325" s="213">
        <v>2</v>
      </c>
    </row>
    <row r="326" spans="1:10" x14ac:dyDescent="0.25">
      <c r="A326" s="216" t="s">
        <v>697</v>
      </c>
      <c r="B326" s="122" t="s">
        <v>245</v>
      </c>
      <c r="C326" s="122" t="s">
        <v>465</v>
      </c>
      <c r="D326" s="122" t="s">
        <v>256</v>
      </c>
      <c r="E326" s="215">
        <v>33720</v>
      </c>
      <c r="F326" s="122" t="str">
        <f t="shared" si="26"/>
        <v>April</v>
      </c>
      <c r="G326" s="122">
        <f t="shared" ca="1" si="27"/>
        <v>24</v>
      </c>
      <c r="H326" s="122" t="s">
        <v>283</v>
      </c>
      <c r="I326" s="214">
        <v>58910</v>
      </c>
      <c r="J326" s="213">
        <v>1</v>
      </c>
    </row>
    <row r="327" spans="1:10" x14ac:dyDescent="0.25">
      <c r="A327" s="216" t="s">
        <v>731</v>
      </c>
      <c r="B327" s="122" t="s">
        <v>285</v>
      </c>
      <c r="C327" s="122" t="s">
        <v>465</v>
      </c>
      <c r="D327" s="122" t="s">
        <v>256</v>
      </c>
      <c r="E327" s="215">
        <v>36332</v>
      </c>
      <c r="F327" s="122" t="str">
        <f t="shared" si="26"/>
        <v>June</v>
      </c>
      <c r="G327" s="122">
        <f t="shared" ca="1" si="27"/>
        <v>17</v>
      </c>
      <c r="H327" s="122" t="s">
        <v>267</v>
      </c>
      <c r="I327" s="214">
        <v>37760</v>
      </c>
      <c r="J327" s="213">
        <v>2</v>
      </c>
    </row>
    <row r="328" spans="1:10" x14ac:dyDescent="0.25">
      <c r="A328" s="216" t="s">
        <v>514</v>
      </c>
      <c r="B328" s="122" t="s">
        <v>280</v>
      </c>
      <c r="C328" s="122" t="s">
        <v>465</v>
      </c>
      <c r="D328" s="122" t="s">
        <v>247</v>
      </c>
      <c r="E328" s="215">
        <v>36704</v>
      </c>
      <c r="F328" s="122" t="str">
        <f t="shared" si="26"/>
        <v>June</v>
      </c>
      <c r="G328" s="122">
        <f t="shared" ca="1" si="27"/>
        <v>16</v>
      </c>
      <c r="I328" s="214">
        <v>57760</v>
      </c>
      <c r="J328" s="213">
        <v>3</v>
      </c>
    </row>
    <row r="329" spans="1:10" x14ac:dyDescent="0.25">
      <c r="A329" s="216" t="s">
        <v>482</v>
      </c>
      <c r="B329" s="122" t="s">
        <v>271</v>
      </c>
      <c r="C329" s="122" t="s">
        <v>465</v>
      </c>
      <c r="D329" s="122" t="s">
        <v>247</v>
      </c>
      <c r="E329" s="215">
        <v>36637</v>
      </c>
      <c r="F329" s="122" t="str">
        <f t="shared" si="26"/>
        <v>April</v>
      </c>
      <c r="G329" s="122">
        <f t="shared" ca="1" si="27"/>
        <v>16</v>
      </c>
      <c r="I329" s="214">
        <v>57600</v>
      </c>
      <c r="J329" s="213">
        <v>3</v>
      </c>
    </row>
    <row r="330" spans="1:10" x14ac:dyDescent="0.25">
      <c r="A330" s="216" t="s">
        <v>837</v>
      </c>
      <c r="B330" s="122" t="s">
        <v>285</v>
      </c>
      <c r="C330" s="122" t="s">
        <v>465</v>
      </c>
      <c r="D330" s="122" t="s">
        <v>247</v>
      </c>
      <c r="E330" s="215">
        <v>38321</v>
      </c>
      <c r="F330" s="122" t="str">
        <f t="shared" si="26"/>
        <v>November</v>
      </c>
      <c r="G330" s="122">
        <f t="shared" ca="1" si="27"/>
        <v>11</v>
      </c>
      <c r="I330" s="214">
        <v>37980</v>
      </c>
      <c r="J330" s="213">
        <v>4</v>
      </c>
    </row>
    <row r="331" spans="1:10" x14ac:dyDescent="0.25">
      <c r="A331" s="216" t="s">
        <v>553</v>
      </c>
      <c r="B331" s="122" t="s">
        <v>285</v>
      </c>
      <c r="C331" s="122" t="s">
        <v>465</v>
      </c>
      <c r="D331" s="122" t="s">
        <v>247</v>
      </c>
      <c r="E331" s="215">
        <v>38044</v>
      </c>
      <c r="F331" s="122" t="str">
        <f t="shared" si="26"/>
        <v>February</v>
      </c>
      <c r="G331" s="122">
        <f t="shared" ca="1" si="27"/>
        <v>12</v>
      </c>
      <c r="I331" s="214">
        <v>57410</v>
      </c>
      <c r="J331" s="213">
        <v>2</v>
      </c>
    </row>
    <row r="332" spans="1:10" x14ac:dyDescent="0.25">
      <c r="A332" s="216" t="s">
        <v>906</v>
      </c>
      <c r="B332" s="122" t="s">
        <v>271</v>
      </c>
      <c r="C332" s="122" t="s">
        <v>465</v>
      </c>
      <c r="D332" s="122" t="s">
        <v>247</v>
      </c>
      <c r="E332" s="215">
        <v>40680</v>
      </c>
      <c r="F332" s="122" t="str">
        <f t="shared" si="26"/>
        <v>May</v>
      </c>
      <c r="G332" s="122">
        <f t="shared" ca="1" si="27"/>
        <v>5</v>
      </c>
      <c r="I332" s="214">
        <v>57110</v>
      </c>
      <c r="J332" s="213">
        <v>3</v>
      </c>
    </row>
    <row r="333" spans="1:10" x14ac:dyDescent="0.25">
      <c r="A333" s="216" t="s">
        <v>635</v>
      </c>
      <c r="B333" s="122" t="s">
        <v>285</v>
      </c>
      <c r="C333" s="122" t="s">
        <v>465</v>
      </c>
      <c r="D333" s="122" t="s">
        <v>256</v>
      </c>
      <c r="E333" s="215">
        <v>33613</v>
      </c>
      <c r="F333" s="122" t="str">
        <f t="shared" si="26"/>
        <v>January</v>
      </c>
      <c r="G333" s="122">
        <f t="shared" ca="1" si="27"/>
        <v>24</v>
      </c>
      <c r="H333" s="122" t="s">
        <v>586</v>
      </c>
      <c r="I333" s="214">
        <v>56900</v>
      </c>
      <c r="J333" s="213">
        <v>5</v>
      </c>
    </row>
    <row r="334" spans="1:10" x14ac:dyDescent="0.25">
      <c r="A334" s="216" t="s">
        <v>313</v>
      </c>
      <c r="B334" s="122" t="s">
        <v>251</v>
      </c>
      <c r="C334" s="122" t="s">
        <v>465</v>
      </c>
      <c r="D334" s="122" t="s">
        <v>261</v>
      </c>
      <c r="E334" s="215">
        <v>34583</v>
      </c>
      <c r="F334" s="122" t="str">
        <f t="shared" si="26"/>
        <v>September</v>
      </c>
      <c r="G334" s="122">
        <f t="shared" ca="1" si="27"/>
        <v>22</v>
      </c>
      <c r="H334" s="122" t="s">
        <v>262</v>
      </c>
      <c r="I334" s="214">
        <v>15260</v>
      </c>
      <c r="J334" s="213">
        <v>2</v>
      </c>
    </row>
    <row r="335" spans="1:10" x14ac:dyDescent="0.25">
      <c r="A335" s="216" t="s">
        <v>760</v>
      </c>
      <c r="B335" s="122" t="s">
        <v>245</v>
      </c>
      <c r="C335" s="122" t="s">
        <v>465</v>
      </c>
      <c r="D335" s="122" t="s">
        <v>247</v>
      </c>
      <c r="E335" s="215">
        <v>38537</v>
      </c>
      <c r="F335" s="122" t="str">
        <f t="shared" si="26"/>
        <v>July</v>
      </c>
      <c r="G335" s="122">
        <f t="shared" ca="1" si="27"/>
        <v>11</v>
      </c>
      <c r="I335" s="214">
        <v>39680</v>
      </c>
      <c r="J335" s="213">
        <v>1</v>
      </c>
    </row>
    <row r="336" spans="1:10" x14ac:dyDescent="0.25">
      <c r="A336" s="216" t="s">
        <v>813</v>
      </c>
      <c r="B336" s="122" t="s">
        <v>266</v>
      </c>
      <c r="C336" s="122" t="s">
        <v>465</v>
      </c>
      <c r="D336" s="122" t="s">
        <v>256</v>
      </c>
      <c r="E336" s="215">
        <v>37936</v>
      </c>
      <c r="F336" s="122" t="str">
        <f t="shared" si="26"/>
        <v>November</v>
      </c>
      <c r="G336" s="122">
        <f t="shared" ca="1" si="27"/>
        <v>13</v>
      </c>
      <c r="H336" s="122" t="s">
        <v>283</v>
      </c>
      <c r="I336" s="214">
        <v>30920</v>
      </c>
      <c r="J336" s="213">
        <v>5</v>
      </c>
    </row>
    <row r="337" spans="1:10" x14ac:dyDescent="0.25">
      <c r="A337" s="216" t="s">
        <v>286</v>
      </c>
      <c r="B337" s="122" t="s">
        <v>245</v>
      </c>
      <c r="C337" s="122" t="s">
        <v>465</v>
      </c>
      <c r="D337" s="122" t="s">
        <v>256</v>
      </c>
      <c r="E337" s="215">
        <v>35938</v>
      </c>
      <c r="F337" s="122" t="str">
        <f t="shared" si="26"/>
        <v>May</v>
      </c>
      <c r="G337" s="122">
        <f t="shared" ca="1" si="27"/>
        <v>18</v>
      </c>
      <c r="H337" s="122" t="s">
        <v>267</v>
      </c>
      <c r="I337" s="214">
        <v>55450</v>
      </c>
      <c r="J337" s="213">
        <v>5</v>
      </c>
    </row>
    <row r="338" spans="1:10" x14ac:dyDescent="0.25">
      <c r="A338" s="216" t="s">
        <v>423</v>
      </c>
      <c r="B338" s="122" t="s">
        <v>245</v>
      </c>
      <c r="C338" s="122" t="s">
        <v>465</v>
      </c>
      <c r="D338" s="122" t="s">
        <v>252</v>
      </c>
      <c r="E338" s="215">
        <v>35490</v>
      </c>
      <c r="F338" s="122" t="str">
        <f t="shared" si="26"/>
        <v>March</v>
      </c>
      <c r="G338" s="122">
        <f t="shared" ca="1" si="27"/>
        <v>19</v>
      </c>
      <c r="I338" s="214">
        <v>22472</v>
      </c>
      <c r="J338" s="213">
        <v>1</v>
      </c>
    </row>
    <row r="339" spans="1:10" x14ac:dyDescent="0.25">
      <c r="A339" s="216" t="s">
        <v>460</v>
      </c>
      <c r="B339" s="122" t="s">
        <v>285</v>
      </c>
      <c r="C339" s="122" t="s">
        <v>465</v>
      </c>
      <c r="D339" s="122" t="s">
        <v>256</v>
      </c>
      <c r="E339" s="215">
        <v>37866</v>
      </c>
      <c r="F339" s="122" t="str">
        <f t="shared" si="26"/>
        <v>September</v>
      </c>
      <c r="G339" s="122">
        <f t="shared" ca="1" si="27"/>
        <v>13</v>
      </c>
      <c r="H339" s="122" t="s">
        <v>262</v>
      </c>
      <c r="I339" s="214">
        <v>54230</v>
      </c>
      <c r="J339" s="213">
        <v>5</v>
      </c>
    </row>
    <row r="340" spans="1:10" x14ac:dyDescent="0.25">
      <c r="A340" s="216" t="s">
        <v>911</v>
      </c>
      <c r="B340" s="122" t="s">
        <v>280</v>
      </c>
      <c r="C340" s="122" t="s">
        <v>465</v>
      </c>
      <c r="D340" s="122" t="s">
        <v>256</v>
      </c>
      <c r="E340" s="215">
        <v>39348</v>
      </c>
      <c r="F340" s="122" t="str">
        <f t="shared" si="26"/>
        <v>September</v>
      </c>
      <c r="G340" s="122">
        <f t="shared" ca="1" si="27"/>
        <v>9</v>
      </c>
      <c r="H340" s="122" t="s">
        <v>257</v>
      </c>
      <c r="I340" s="214">
        <v>46220</v>
      </c>
      <c r="J340" s="213">
        <v>2</v>
      </c>
    </row>
    <row r="341" spans="1:10" x14ac:dyDescent="0.25">
      <c r="A341" s="216" t="s">
        <v>481</v>
      </c>
      <c r="B341" s="122" t="s">
        <v>271</v>
      </c>
      <c r="C341" s="122" t="s">
        <v>465</v>
      </c>
      <c r="D341" s="122" t="s">
        <v>247</v>
      </c>
      <c r="E341" s="215">
        <v>35349</v>
      </c>
      <c r="F341" s="122" t="str">
        <f t="shared" si="26"/>
        <v>October</v>
      </c>
      <c r="G341" s="122">
        <f t="shared" ca="1" si="27"/>
        <v>20</v>
      </c>
      <c r="I341" s="214">
        <v>52940</v>
      </c>
      <c r="J341" s="213">
        <v>4</v>
      </c>
    </row>
    <row r="342" spans="1:10" x14ac:dyDescent="0.25">
      <c r="A342" s="216" t="s">
        <v>615</v>
      </c>
      <c r="B342" s="122" t="s">
        <v>271</v>
      </c>
      <c r="C342" s="122" t="s">
        <v>465</v>
      </c>
      <c r="D342" s="122" t="s">
        <v>256</v>
      </c>
      <c r="E342" s="215">
        <v>33631</v>
      </c>
      <c r="F342" s="122" t="str">
        <f t="shared" si="26"/>
        <v>January</v>
      </c>
      <c r="G342" s="122">
        <f t="shared" ca="1" si="27"/>
        <v>24</v>
      </c>
      <c r="H342" s="122" t="s">
        <v>257</v>
      </c>
      <c r="I342" s="214">
        <v>52940</v>
      </c>
      <c r="J342" s="213">
        <v>4</v>
      </c>
    </row>
    <row r="343" spans="1:10" x14ac:dyDescent="0.25">
      <c r="A343" s="216" t="s">
        <v>722</v>
      </c>
      <c r="B343" s="122" t="s">
        <v>251</v>
      </c>
      <c r="C343" s="122" t="s">
        <v>465</v>
      </c>
      <c r="D343" s="122" t="s">
        <v>261</v>
      </c>
      <c r="E343" s="215">
        <v>35807</v>
      </c>
      <c r="F343" s="122" t="str">
        <f t="shared" si="26"/>
        <v>January</v>
      </c>
      <c r="G343" s="122">
        <f t="shared" ca="1" si="27"/>
        <v>18</v>
      </c>
      <c r="H343" s="122" t="s">
        <v>257</v>
      </c>
      <c r="I343" s="214">
        <v>48835</v>
      </c>
      <c r="J343" s="213">
        <v>5</v>
      </c>
    </row>
    <row r="344" spans="1:10" x14ac:dyDescent="0.25">
      <c r="A344" s="216" t="s">
        <v>680</v>
      </c>
      <c r="B344" s="122" t="s">
        <v>251</v>
      </c>
      <c r="C344" s="122" t="s">
        <v>465</v>
      </c>
      <c r="D344" s="122" t="s">
        <v>247</v>
      </c>
      <c r="E344" s="215">
        <v>37326</v>
      </c>
      <c r="F344" s="122" t="str">
        <f t="shared" si="26"/>
        <v>March</v>
      </c>
      <c r="G344" s="122">
        <f t="shared" ca="1" si="27"/>
        <v>14</v>
      </c>
      <c r="I344" s="214">
        <v>52770</v>
      </c>
      <c r="J344" s="213">
        <v>2</v>
      </c>
    </row>
    <row r="345" spans="1:10" x14ac:dyDescent="0.25">
      <c r="A345" s="216" t="s">
        <v>593</v>
      </c>
      <c r="B345" s="122" t="s">
        <v>271</v>
      </c>
      <c r="C345" s="122" t="s">
        <v>465</v>
      </c>
      <c r="D345" s="122" t="s">
        <v>261</v>
      </c>
      <c r="E345" s="215">
        <v>36177</v>
      </c>
      <c r="F345" s="122" t="str">
        <f t="shared" si="26"/>
        <v>January</v>
      </c>
      <c r="G345" s="122">
        <f t="shared" ca="1" si="27"/>
        <v>17</v>
      </c>
      <c r="H345" s="122" t="s">
        <v>267</v>
      </c>
      <c r="I345" s="214">
        <v>21670</v>
      </c>
      <c r="J345" s="213">
        <v>2</v>
      </c>
    </row>
    <row r="346" spans="1:10" x14ac:dyDescent="0.25">
      <c r="A346" s="216" t="s">
        <v>1013</v>
      </c>
      <c r="B346" s="122" t="s">
        <v>271</v>
      </c>
      <c r="C346" s="122" t="s">
        <v>465</v>
      </c>
      <c r="D346" s="122" t="s">
        <v>252</v>
      </c>
      <c r="E346" s="215">
        <v>40574</v>
      </c>
      <c r="F346" s="122" t="str">
        <f t="shared" si="26"/>
        <v>January</v>
      </c>
      <c r="G346" s="122">
        <f t="shared" ca="1" si="27"/>
        <v>5</v>
      </c>
      <c r="I346" s="214">
        <v>28424</v>
      </c>
      <c r="J346" s="213">
        <v>4</v>
      </c>
    </row>
    <row r="347" spans="1:10" x14ac:dyDescent="0.25">
      <c r="A347" s="217" t="s">
        <v>618</v>
      </c>
    </row>
    <row r="348" spans="1:10" x14ac:dyDescent="0.25">
      <c r="A348" s="216" t="s">
        <v>889</v>
      </c>
      <c r="B348" s="122" t="s">
        <v>245</v>
      </c>
      <c r="C348" s="122" t="s">
        <v>618</v>
      </c>
      <c r="D348" s="122" t="s">
        <v>247</v>
      </c>
      <c r="E348" s="215">
        <v>36765</v>
      </c>
      <c r="F348" s="122" t="str">
        <f t="shared" ref="F348:F354" si="28">CHOOSE(MONTH(E348),"January","February","March","April","May","June","July","August","September","October","November","December")</f>
        <v>August</v>
      </c>
      <c r="G348" s="122">
        <f t="shared" ref="G348:G354" ca="1" si="29">DATEDIF(E348,TODAY(),"Y")</f>
        <v>16</v>
      </c>
      <c r="I348" s="214">
        <v>74500</v>
      </c>
      <c r="J348" s="213">
        <v>4</v>
      </c>
    </row>
    <row r="349" spans="1:10" x14ac:dyDescent="0.25">
      <c r="A349" s="216" t="s">
        <v>612</v>
      </c>
      <c r="B349" s="122" t="s">
        <v>245</v>
      </c>
      <c r="C349" s="122" t="s">
        <v>618</v>
      </c>
      <c r="D349" s="122" t="s">
        <v>256</v>
      </c>
      <c r="E349" s="215">
        <v>39038</v>
      </c>
      <c r="F349" s="122" t="str">
        <f t="shared" si="28"/>
        <v>November</v>
      </c>
      <c r="G349" s="122">
        <f t="shared" ca="1" si="29"/>
        <v>9</v>
      </c>
      <c r="H349" s="122" t="s">
        <v>276</v>
      </c>
      <c r="I349" s="214">
        <v>71400</v>
      </c>
      <c r="J349" s="213">
        <v>4</v>
      </c>
    </row>
    <row r="350" spans="1:10" x14ac:dyDescent="0.25">
      <c r="A350" s="216" t="s">
        <v>530</v>
      </c>
      <c r="B350" s="122" t="s">
        <v>280</v>
      </c>
      <c r="C350" s="122" t="s">
        <v>618</v>
      </c>
      <c r="D350" s="122" t="s">
        <v>256</v>
      </c>
      <c r="E350" s="215">
        <v>33832</v>
      </c>
      <c r="F350" s="122" t="str">
        <f t="shared" si="28"/>
        <v>August</v>
      </c>
      <c r="G350" s="122">
        <f t="shared" ca="1" si="29"/>
        <v>24</v>
      </c>
      <c r="H350" s="122" t="s">
        <v>257</v>
      </c>
      <c r="I350" s="214">
        <v>39160</v>
      </c>
      <c r="J350" s="213">
        <v>3</v>
      </c>
    </row>
    <row r="351" spans="1:10" x14ac:dyDescent="0.25">
      <c r="A351" s="216" t="s">
        <v>368</v>
      </c>
      <c r="B351" s="122" t="s">
        <v>266</v>
      </c>
      <c r="C351" s="122" t="s">
        <v>618</v>
      </c>
      <c r="D351" s="122" t="s">
        <v>247</v>
      </c>
      <c r="E351" s="215">
        <v>40292</v>
      </c>
      <c r="F351" s="122" t="str">
        <f t="shared" si="28"/>
        <v>April</v>
      </c>
      <c r="G351" s="122">
        <f t="shared" ca="1" si="29"/>
        <v>6</v>
      </c>
      <c r="I351" s="214">
        <v>61890</v>
      </c>
      <c r="J351" s="213">
        <v>2</v>
      </c>
    </row>
    <row r="352" spans="1:10" x14ac:dyDescent="0.25">
      <c r="A352" s="216" t="s">
        <v>281</v>
      </c>
      <c r="B352" s="122" t="s">
        <v>251</v>
      </c>
      <c r="C352" s="122" t="s">
        <v>618</v>
      </c>
      <c r="D352" s="122" t="s">
        <v>256</v>
      </c>
      <c r="E352" s="215">
        <v>37407</v>
      </c>
      <c r="F352" s="122" t="str">
        <f t="shared" si="28"/>
        <v>May</v>
      </c>
      <c r="G352" s="122">
        <f t="shared" ca="1" si="29"/>
        <v>14</v>
      </c>
      <c r="H352" s="122" t="s">
        <v>257</v>
      </c>
      <c r="I352" s="214">
        <v>59140</v>
      </c>
      <c r="J352" s="213">
        <v>5</v>
      </c>
    </row>
    <row r="353" spans="1:10" x14ac:dyDescent="0.25">
      <c r="A353" s="216" t="s">
        <v>920</v>
      </c>
      <c r="B353" s="122" t="s">
        <v>285</v>
      </c>
      <c r="C353" s="122" t="s">
        <v>618</v>
      </c>
      <c r="D353" s="122" t="s">
        <v>256</v>
      </c>
      <c r="E353" s="215">
        <v>37936</v>
      </c>
      <c r="F353" s="122" t="str">
        <f t="shared" si="28"/>
        <v>November</v>
      </c>
      <c r="G353" s="122">
        <f t="shared" ca="1" si="29"/>
        <v>13</v>
      </c>
      <c r="H353" s="122" t="s">
        <v>283</v>
      </c>
      <c r="I353" s="214">
        <v>53870</v>
      </c>
      <c r="J353" s="213">
        <v>2</v>
      </c>
    </row>
    <row r="354" spans="1:10" x14ac:dyDescent="0.25">
      <c r="A354" s="216" t="s">
        <v>505</v>
      </c>
      <c r="B354" s="122" t="s">
        <v>266</v>
      </c>
      <c r="C354" s="122" t="s">
        <v>618</v>
      </c>
      <c r="D354" s="122" t="s">
        <v>256</v>
      </c>
      <c r="E354" s="215">
        <v>40313</v>
      </c>
      <c r="F354" s="122" t="str">
        <f t="shared" si="28"/>
        <v>May</v>
      </c>
      <c r="G354" s="122">
        <f t="shared" ca="1" si="29"/>
        <v>6</v>
      </c>
      <c r="H354" s="122" t="s">
        <v>283</v>
      </c>
      <c r="I354" s="214">
        <v>27250</v>
      </c>
      <c r="J354" s="213">
        <v>5</v>
      </c>
    </row>
    <row r="355" spans="1:10" x14ac:dyDescent="0.25">
      <c r="A355" s="217" t="s">
        <v>626</v>
      </c>
    </row>
    <row r="356" spans="1:10" x14ac:dyDescent="0.25">
      <c r="A356" s="216" t="s">
        <v>675</v>
      </c>
      <c r="B356" s="122" t="s">
        <v>245</v>
      </c>
      <c r="C356" s="122" t="s">
        <v>626</v>
      </c>
      <c r="D356" s="122" t="s">
        <v>256</v>
      </c>
      <c r="E356" s="215">
        <v>36940</v>
      </c>
      <c r="F356" s="122" t="str">
        <f t="shared" ref="F356:F387" si="30">CHOOSE(MONTH(E356),"January","February","March","April","May","June","July","August","September","October","November","December")</f>
        <v>February</v>
      </c>
      <c r="G356" s="122">
        <f t="shared" ref="G356:G387" ca="1" si="31">DATEDIF(E356,TODAY(),"Y")</f>
        <v>15</v>
      </c>
      <c r="H356" s="122" t="s">
        <v>257</v>
      </c>
      <c r="I356" s="214">
        <v>48990</v>
      </c>
      <c r="J356" s="213">
        <v>5</v>
      </c>
    </row>
    <row r="357" spans="1:10" x14ac:dyDescent="0.25">
      <c r="A357" s="216" t="s">
        <v>761</v>
      </c>
      <c r="B357" s="122" t="s">
        <v>245</v>
      </c>
      <c r="C357" s="122" t="s">
        <v>626</v>
      </c>
      <c r="D357" s="122" t="s">
        <v>256</v>
      </c>
      <c r="E357" s="215">
        <v>35254</v>
      </c>
      <c r="F357" s="122" t="str">
        <f t="shared" si="30"/>
        <v>July</v>
      </c>
      <c r="G357" s="122">
        <f t="shared" ca="1" si="31"/>
        <v>20</v>
      </c>
      <c r="H357" s="122" t="s">
        <v>257</v>
      </c>
      <c r="I357" s="214">
        <v>48800</v>
      </c>
      <c r="J357" s="213">
        <v>4</v>
      </c>
    </row>
    <row r="358" spans="1:10" x14ac:dyDescent="0.25">
      <c r="A358" s="216" t="s">
        <v>338</v>
      </c>
      <c r="B358" s="122" t="s">
        <v>285</v>
      </c>
      <c r="C358" s="122" t="s">
        <v>626</v>
      </c>
      <c r="D358" s="122" t="s">
        <v>256</v>
      </c>
      <c r="E358" s="215">
        <v>33606</v>
      </c>
      <c r="F358" s="122" t="str">
        <f t="shared" si="30"/>
        <v>January</v>
      </c>
      <c r="G358" s="122">
        <f t="shared" ca="1" si="31"/>
        <v>24</v>
      </c>
      <c r="H358" s="122" t="s">
        <v>262</v>
      </c>
      <c r="I358" s="214">
        <v>87120</v>
      </c>
      <c r="J358" s="213">
        <v>3</v>
      </c>
    </row>
    <row r="359" spans="1:10" x14ac:dyDescent="0.25">
      <c r="A359" s="216" t="s">
        <v>466</v>
      </c>
      <c r="B359" s="122" t="s">
        <v>245</v>
      </c>
      <c r="C359" s="122" t="s">
        <v>626</v>
      </c>
      <c r="D359" s="122" t="s">
        <v>256</v>
      </c>
      <c r="E359" s="215">
        <v>35856</v>
      </c>
      <c r="F359" s="122" t="str">
        <f t="shared" si="30"/>
        <v>March</v>
      </c>
      <c r="G359" s="122">
        <f t="shared" ca="1" si="31"/>
        <v>18</v>
      </c>
      <c r="H359" s="122" t="s">
        <v>276</v>
      </c>
      <c r="I359" s="214">
        <v>86830</v>
      </c>
      <c r="J359" s="213">
        <v>3</v>
      </c>
    </row>
    <row r="360" spans="1:10" x14ac:dyDescent="0.25">
      <c r="A360" s="216" t="s">
        <v>431</v>
      </c>
      <c r="B360" s="122" t="s">
        <v>285</v>
      </c>
      <c r="C360" s="122" t="s">
        <v>626</v>
      </c>
      <c r="D360" s="122" t="s">
        <v>256</v>
      </c>
      <c r="E360" s="215">
        <v>34067</v>
      </c>
      <c r="F360" s="122" t="str">
        <f t="shared" si="30"/>
        <v>April</v>
      </c>
      <c r="G360" s="122">
        <f t="shared" ca="1" si="31"/>
        <v>23</v>
      </c>
      <c r="H360" s="122" t="s">
        <v>267</v>
      </c>
      <c r="I360" s="214">
        <v>86540</v>
      </c>
      <c r="J360" s="213">
        <v>4</v>
      </c>
    </row>
    <row r="361" spans="1:10" x14ac:dyDescent="0.25">
      <c r="A361" s="216" t="s">
        <v>987</v>
      </c>
      <c r="B361" s="122" t="s">
        <v>245</v>
      </c>
      <c r="C361" s="122" t="s">
        <v>626</v>
      </c>
      <c r="D361" s="122" t="s">
        <v>247</v>
      </c>
      <c r="E361" s="215">
        <v>36192</v>
      </c>
      <c r="F361" s="122" t="str">
        <f t="shared" si="30"/>
        <v>February</v>
      </c>
      <c r="G361" s="122">
        <f t="shared" ca="1" si="31"/>
        <v>17</v>
      </c>
      <c r="I361" s="214">
        <v>47620</v>
      </c>
      <c r="J361" s="213">
        <v>5</v>
      </c>
    </row>
    <row r="362" spans="1:10" x14ac:dyDescent="0.25">
      <c r="A362" s="216" t="s">
        <v>524</v>
      </c>
      <c r="B362" s="122" t="s">
        <v>271</v>
      </c>
      <c r="C362" s="122" t="s">
        <v>626</v>
      </c>
      <c r="D362" s="122" t="s">
        <v>256</v>
      </c>
      <c r="E362" s="215">
        <v>35857</v>
      </c>
      <c r="F362" s="122" t="str">
        <f t="shared" si="30"/>
        <v>March</v>
      </c>
      <c r="G362" s="122">
        <f t="shared" ca="1" si="31"/>
        <v>18</v>
      </c>
      <c r="H362" s="122" t="s">
        <v>283</v>
      </c>
      <c r="I362" s="214">
        <v>82110</v>
      </c>
      <c r="J362" s="213">
        <v>3</v>
      </c>
    </row>
    <row r="363" spans="1:10" x14ac:dyDescent="0.25">
      <c r="A363" s="216" t="s">
        <v>347</v>
      </c>
      <c r="B363" s="122" t="s">
        <v>280</v>
      </c>
      <c r="C363" s="122" t="s">
        <v>626</v>
      </c>
      <c r="D363" s="122" t="s">
        <v>247</v>
      </c>
      <c r="E363" s="215">
        <v>34947</v>
      </c>
      <c r="F363" s="122" t="str">
        <f t="shared" si="30"/>
        <v>September</v>
      </c>
      <c r="G363" s="122">
        <f t="shared" ca="1" si="31"/>
        <v>21</v>
      </c>
      <c r="I363" s="214">
        <v>81930</v>
      </c>
      <c r="J363" s="213">
        <v>5</v>
      </c>
    </row>
    <row r="364" spans="1:10" x14ac:dyDescent="0.25">
      <c r="A364" s="216" t="s">
        <v>407</v>
      </c>
      <c r="B364" s="122" t="s">
        <v>285</v>
      </c>
      <c r="C364" s="122" t="s">
        <v>626</v>
      </c>
      <c r="D364" s="122" t="s">
        <v>256</v>
      </c>
      <c r="E364" s="215">
        <v>35547</v>
      </c>
      <c r="F364" s="122" t="str">
        <f t="shared" si="30"/>
        <v>April</v>
      </c>
      <c r="G364" s="122">
        <f t="shared" ca="1" si="31"/>
        <v>19</v>
      </c>
      <c r="H364" s="122" t="s">
        <v>257</v>
      </c>
      <c r="I364" s="214">
        <v>81640</v>
      </c>
      <c r="J364" s="213">
        <v>4</v>
      </c>
    </row>
    <row r="365" spans="1:10" x14ac:dyDescent="0.25">
      <c r="A365" s="216" t="s">
        <v>383</v>
      </c>
      <c r="B365" s="122" t="s">
        <v>280</v>
      </c>
      <c r="C365" s="122" t="s">
        <v>626</v>
      </c>
      <c r="D365" s="122" t="s">
        <v>261</v>
      </c>
      <c r="E365" s="215">
        <v>36371</v>
      </c>
      <c r="F365" s="122" t="str">
        <f t="shared" si="30"/>
        <v>July</v>
      </c>
      <c r="G365" s="122">
        <f t="shared" ca="1" si="31"/>
        <v>17</v>
      </c>
      <c r="H365" s="122" t="s">
        <v>283</v>
      </c>
      <c r="I365" s="214">
        <v>26790</v>
      </c>
      <c r="J365" s="213">
        <v>2</v>
      </c>
    </row>
    <row r="366" spans="1:10" x14ac:dyDescent="0.25">
      <c r="A366" s="216" t="s">
        <v>842</v>
      </c>
      <c r="B366" s="122" t="s">
        <v>285</v>
      </c>
      <c r="C366" s="122" t="s">
        <v>626</v>
      </c>
      <c r="D366" s="122" t="s">
        <v>256</v>
      </c>
      <c r="E366" s="215">
        <v>36116</v>
      </c>
      <c r="F366" s="122" t="str">
        <f t="shared" si="30"/>
        <v>November</v>
      </c>
      <c r="G366" s="122">
        <f t="shared" ca="1" si="31"/>
        <v>17</v>
      </c>
      <c r="H366" s="122" t="s">
        <v>276</v>
      </c>
      <c r="I366" s="214">
        <v>49770</v>
      </c>
      <c r="J366" s="213">
        <v>1</v>
      </c>
    </row>
    <row r="367" spans="1:10" x14ac:dyDescent="0.25">
      <c r="A367" s="216" t="s">
        <v>903</v>
      </c>
      <c r="B367" s="122" t="s">
        <v>245</v>
      </c>
      <c r="C367" s="122" t="s">
        <v>626</v>
      </c>
      <c r="D367" s="122" t="s">
        <v>261</v>
      </c>
      <c r="E367" s="215">
        <v>36121</v>
      </c>
      <c r="F367" s="122" t="str">
        <f t="shared" si="30"/>
        <v>November</v>
      </c>
      <c r="G367" s="122">
        <f t="shared" ca="1" si="31"/>
        <v>17</v>
      </c>
      <c r="H367" s="122" t="s">
        <v>283</v>
      </c>
      <c r="I367" s="214">
        <v>28880</v>
      </c>
      <c r="J367" s="213">
        <v>3</v>
      </c>
    </row>
    <row r="368" spans="1:10" x14ac:dyDescent="0.25">
      <c r="A368" s="216" t="s">
        <v>336</v>
      </c>
      <c r="B368" s="122" t="s">
        <v>271</v>
      </c>
      <c r="C368" s="122" t="s">
        <v>626</v>
      </c>
      <c r="D368" s="122" t="s">
        <v>261</v>
      </c>
      <c r="E368" s="215">
        <v>37166</v>
      </c>
      <c r="F368" s="122" t="str">
        <f t="shared" si="30"/>
        <v>October</v>
      </c>
      <c r="G368" s="122">
        <f t="shared" ca="1" si="31"/>
        <v>15</v>
      </c>
      <c r="H368" s="122" t="s">
        <v>262</v>
      </c>
      <c r="I368" s="214">
        <v>47295</v>
      </c>
      <c r="J368" s="213">
        <v>4</v>
      </c>
    </row>
    <row r="369" spans="1:10" x14ac:dyDescent="0.25">
      <c r="A369" s="216" t="s">
        <v>327</v>
      </c>
      <c r="B369" s="122" t="s">
        <v>266</v>
      </c>
      <c r="C369" s="122" t="s">
        <v>626</v>
      </c>
      <c r="D369" s="122" t="s">
        <v>256</v>
      </c>
      <c r="E369" s="215">
        <v>36297</v>
      </c>
      <c r="F369" s="122" t="str">
        <f t="shared" si="30"/>
        <v>May</v>
      </c>
      <c r="G369" s="122">
        <f t="shared" ca="1" si="31"/>
        <v>17</v>
      </c>
      <c r="H369" s="122" t="s">
        <v>257</v>
      </c>
      <c r="I369" s="214">
        <v>46030</v>
      </c>
      <c r="J369" s="213">
        <v>2</v>
      </c>
    </row>
    <row r="370" spans="1:10" x14ac:dyDescent="0.25">
      <c r="A370" s="216" t="s">
        <v>764</v>
      </c>
      <c r="B370" s="122" t="s">
        <v>266</v>
      </c>
      <c r="C370" s="122" t="s">
        <v>626</v>
      </c>
      <c r="D370" s="122" t="s">
        <v>247</v>
      </c>
      <c r="E370" s="215">
        <v>34054</v>
      </c>
      <c r="F370" s="122" t="str">
        <f t="shared" si="30"/>
        <v>March</v>
      </c>
      <c r="G370" s="122">
        <f t="shared" ca="1" si="31"/>
        <v>23</v>
      </c>
      <c r="I370" s="214">
        <v>29000</v>
      </c>
      <c r="J370" s="213">
        <v>5</v>
      </c>
    </row>
    <row r="371" spans="1:10" x14ac:dyDescent="0.25">
      <c r="A371" s="216" t="s">
        <v>470</v>
      </c>
      <c r="B371" s="122" t="s">
        <v>271</v>
      </c>
      <c r="C371" s="122" t="s">
        <v>626</v>
      </c>
      <c r="D371" s="122" t="s">
        <v>247</v>
      </c>
      <c r="E371" s="215">
        <v>35776</v>
      </c>
      <c r="F371" s="122" t="str">
        <f t="shared" si="30"/>
        <v>December</v>
      </c>
      <c r="G371" s="122">
        <f t="shared" ca="1" si="31"/>
        <v>18</v>
      </c>
      <c r="I371" s="214">
        <v>77930</v>
      </c>
      <c r="J371" s="213">
        <v>5</v>
      </c>
    </row>
    <row r="372" spans="1:10" x14ac:dyDescent="0.25">
      <c r="A372" s="216" t="s">
        <v>798</v>
      </c>
      <c r="B372" s="122" t="s">
        <v>271</v>
      </c>
      <c r="C372" s="122" t="s">
        <v>626</v>
      </c>
      <c r="D372" s="122" t="s">
        <v>256</v>
      </c>
      <c r="E372" s="215">
        <v>40447</v>
      </c>
      <c r="F372" s="122" t="str">
        <f t="shared" si="30"/>
        <v>September</v>
      </c>
      <c r="G372" s="122">
        <f t="shared" ca="1" si="31"/>
        <v>6</v>
      </c>
      <c r="H372" s="122" t="s">
        <v>257</v>
      </c>
      <c r="I372" s="214">
        <v>33970</v>
      </c>
      <c r="J372" s="213">
        <v>4</v>
      </c>
    </row>
    <row r="373" spans="1:10" x14ac:dyDescent="0.25">
      <c r="A373" s="216" t="s">
        <v>333</v>
      </c>
      <c r="B373" s="122" t="s">
        <v>271</v>
      </c>
      <c r="C373" s="122" t="s">
        <v>626</v>
      </c>
      <c r="D373" s="122" t="s">
        <v>256</v>
      </c>
      <c r="E373" s="215">
        <v>40361</v>
      </c>
      <c r="F373" s="122" t="str">
        <f t="shared" si="30"/>
        <v>July</v>
      </c>
      <c r="G373" s="122">
        <f t="shared" ca="1" si="31"/>
        <v>6</v>
      </c>
      <c r="H373" s="122" t="s">
        <v>267</v>
      </c>
      <c r="I373" s="214">
        <v>75780</v>
      </c>
      <c r="J373" s="213">
        <v>2</v>
      </c>
    </row>
    <row r="374" spans="1:10" x14ac:dyDescent="0.25">
      <c r="A374" s="216" t="s">
        <v>686</v>
      </c>
      <c r="B374" s="122" t="s">
        <v>285</v>
      </c>
      <c r="C374" s="122" t="s">
        <v>626</v>
      </c>
      <c r="D374" s="122" t="s">
        <v>256</v>
      </c>
      <c r="E374" s="215">
        <v>34034</v>
      </c>
      <c r="F374" s="122" t="str">
        <f t="shared" si="30"/>
        <v>March</v>
      </c>
      <c r="G374" s="122">
        <f t="shared" ca="1" si="31"/>
        <v>23</v>
      </c>
      <c r="H374" s="122" t="s">
        <v>267</v>
      </c>
      <c r="I374" s="214">
        <v>45180</v>
      </c>
      <c r="J374" s="213">
        <v>5</v>
      </c>
    </row>
    <row r="375" spans="1:10" x14ac:dyDescent="0.25">
      <c r="A375" s="216" t="s">
        <v>494</v>
      </c>
      <c r="B375" s="122" t="s">
        <v>271</v>
      </c>
      <c r="C375" s="122" t="s">
        <v>626</v>
      </c>
      <c r="D375" s="122" t="s">
        <v>247</v>
      </c>
      <c r="E375" s="215">
        <v>39283</v>
      </c>
      <c r="F375" s="122" t="str">
        <f t="shared" si="30"/>
        <v>July</v>
      </c>
      <c r="G375" s="122">
        <f t="shared" ca="1" si="31"/>
        <v>9</v>
      </c>
      <c r="I375" s="214">
        <v>74470</v>
      </c>
      <c r="J375" s="213">
        <v>3</v>
      </c>
    </row>
    <row r="376" spans="1:10" x14ac:dyDescent="0.25">
      <c r="A376" s="216" t="s">
        <v>712</v>
      </c>
      <c r="B376" s="122" t="s">
        <v>251</v>
      </c>
      <c r="C376" s="122" t="s">
        <v>626</v>
      </c>
      <c r="D376" s="122" t="s">
        <v>256</v>
      </c>
      <c r="E376" s="215">
        <v>33765</v>
      </c>
      <c r="F376" s="122" t="str">
        <f t="shared" si="30"/>
        <v>June</v>
      </c>
      <c r="G376" s="122">
        <f t="shared" ca="1" si="31"/>
        <v>24</v>
      </c>
      <c r="H376" s="122" t="s">
        <v>262</v>
      </c>
      <c r="I376" s="214">
        <v>73930</v>
      </c>
      <c r="J376" s="213">
        <v>1</v>
      </c>
    </row>
    <row r="377" spans="1:10" x14ac:dyDescent="0.25">
      <c r="A377" s="216" t="s">
        <v>345</v>
      </c>
      <c r="B377" s="122" t="s">
        <v>245</v>
      </c>
      <c r="C377" s="122" t="s">
        <v>626</v>
      </c>
      <c r="D377" s="122" t="s">
        <v>256</v>
      </c>
      <c r="E377" s="215">
        <v>33223</v>
      </c>
      <c r="F377" s="122" t="str">
        <f t="shared" si="30"/>
        <v>December</v>
      </c>
      <c r="G377" s="122">
        <f t="shared" ca="1" si="31"/>
        <v>25</v>
      </c>
      <c r="H377" s="122" t="s">
        <v>262</v>
      </c>
      <c r="I377" s="214">
        <v>31260</v>
      </c>
      <c r="J377" s="213">
        <v>5</v>
      </c>
    </row>
    <row r="378" spans="1:10" x14ac:dyDescent="0.25">
      <c r="A378" s="216" t="s">
        <v>826</v>
      </c>
      <c r="B378" s="122" t="s">
        <v>285</v>
      </c>
      <c r="C378" s="122" t="s">
        <v>626</v>
      </c>
      <c r="D378" s="122" t="s">
        <v>261</v>
      </c>
      <c r="E378" s="215">
        <v>38362</v>
      </c>
      <c r="F378" s="122" t="str">
        <f t="shared" si="30"/>
        <v>January</v>
      </c>
      <c r="G378" s="122">
        <f t="shared" ca="1" si="31"/>
        <v>11</v>
      </c>
      <c r="H378" s="122" t="s">
        <v>257</v>
      </c>
      <c r="I378" s="214">
        <v>31255</v>
      </c>
      <c r="J378" s="213">
        <v>5</v>
      </c>
    </row>
    <row r="379" spans="1:10" x14ac:dyDescent="0.25">
      <c r="A379" s="216" t="s">
        <v>934</v>
      </c>
      <c r="B379" s="122" t="s">
        <v>271</v>
      </c>
      <c r="C379" s="122" t="s">
        <v>626</v>
      </c>
      <c r="D379" s="122" t="s">
        <v>261</v>
      </c>
      <c r="E379" s="215">
        <v>33319</v>
      </c>
      <c r="F379" s="122" t="str">
        <f t="shared" si="30"/>
        <v>March</v>
      </c>
      <c r="G379" s="122">
        <f t="shared" ca="1" si="31"/>
        <v>25</v>
      </c>
      <c r="H379" s="122" t="s">
        <v>267</v>
      </c>
      <c r="I379" s="214">
        <v>13090</v>
      </c>
      <c r="J379" s="213">
        <v>4</v>
      </c>
    </row>
    <row r="380" spans="1:10" x14ac:dyDescent="0.25">
      <c r="A380" s="216" t="s">
        <v>783</v>
      </c>
      <c r="B380" s="122" t="s">
        <v>245</v>
      </c>
      <c r="C380" s="122" t="s">
        <v>626</v>
      </c>
      <c r="D380" s="122" t="s">
        <v>256</v>
      </c>
      <c r="E380" s="215">
        <v>33702</v>
      </c>
      <c r="F380" s="122" t="str">
        <f t="shared" si="30"/>
        <v>April</v>
      </c>
      <c r="G380" s="122">
        <f t="shared" ca="1" si="31"/>
        <v>24</v>
      </c>
      <c r="H380" s="122" t="s">
        <v>257</v>
      </c>
      <c r="I380" s="214">
        <v>37020</v>
      </c>
      <c r="J380" s="213">
        <v>2</v>
      </c>
    </row>
    <row r="381" spans="1:10" x14ac:dyDescent="0.25">
      <c r="A381" s="216" t="s">
        <v>891</v>
      </c>
      <c r="B381" s="122" t="s">
        <v>245</v>
      </c>
      <c r="C381" s="122" t="s">
        <v>626</v>
      </c>
      <c r="D381" s="122" t="s">
        <v>256</v>
      </c>
      <c r="E381" s="215">
        <v>35220</v>
      </c>
      <c r="F381" s="122" t="str">
        <f t="shared" si="30"/>
        <v>June</v>
      </c>
      <c r="G381" s="122">
        <f t="shared" ca="1" si="31"/>
        <v>20</v>
      </c>
      <c r="H381" s="122" t="s">
        <v>267</v>
      </c>
      <c r="I381" s="214">
        <v>70480</v>
      </c>
      <c r="J381" s="213">
        <v>4</v>
      </c>
    </row>
    <row r="382" spans="1:10" x14ac:dyDescent="0.25">
      <c r="A382" s="216" t="s">
        <v>565</v>
      </c>
      <c r="B382" s="122" t="s">
        <v>285</v>
      </c>
      <c r="C382" s="122" t="s">
        <v>626</v>
      </c>
      <c r="D382" s="122" t="s">
        <v>252</v>
      </c>
      <c r="E382" s="215">
        <v>33305</v>
      </c>
      <c r="F382" s="122" t="str">
        <f t="shared" si="30"/>
        <v>March</v>
      </c>
      <c r="G382" s="122">
        <f t="shared" ca="1" si="31"/>
        <v>25</v>
      </c>
      <c r="I382" s="214">
        <v>36844</v>
      </c>
      <c r="J382" s="213">
        <v>4</v>
      </c>
    </row>
    <row r="383" spans="1:10" x14ac:dyDescent="0.25">
      <c r="A383" s="216" t="s">
        <v>794</v>
      </c>
      <c r="B383" s="122" t="s">
        <v>251</v>
      </c>
      <c r="C383" s="122" t="s">
        <v>626</v>
      </c>
      <c r="D383" s="122" t="s">
        <v>256</v>
      </c>
      <c r="E383" s="215">
        <v>33407</v>
      </c>
      <c r="F383" s="122" t="str">
        <f t="shared" si="30"/>
        <v>June</v>
      </c>
      <c r="G383" s="122">
        <f t="shared" ca="1" si="31"/>
        <v>25</v>
      </c>
      <c r="H383" s="122" t="s">
        <v>257</v>
      </c>
      <c r="I383" s="214">
        <v>22900</v>
      </c>
      <c r="J383" s="213">
        <v>1</v>
      </c>
    </row>
    <row r="384" spans="1:10" x14ac:dyDescent="0.25">
      <c r="A384" s="216" t="s">
        <v>322</v>
      </c>
      <c r="B384" s="122" t="s">
        <v>266</v>
      </c>
      <c r="C384" s="122" t="s">
        <v>626</v>
      </c>
      <c r="D384" s="122" t="s">
        <v>256</v>
      </c>
      <c r="E384" s="215">
        <v>40083</v>
      </c>
      <c r="F384" s="122" t="str">
        <f t="shared" si="30"/>
        <v>September</v>
      </c>
      <c r="G384" s="122">
        <f t="shared" ca="1" si="31"/>
        <v>7</v>
      </c>
      <c r="H384" s="122" t="s">
        <v>283</v>
      </c>
      <c r="I384" s="214">
        <v>44150</v>
      </c>
      <c r="J384" s="213">
        <v>4</v>
      </c>
    </row>
    <row r="385" spans="1:10" x14ac:dyDescent="0.25">
      <c r="A385" s="216" t="s">
        <v>658</v>
      </c>
      <c r="B385" s="122" t="s">
        <v>285</v>
      </c>
      <c r="C385" s="122" t="s">
        <v>626</v>
      </c>
      <c r="D385" s="122" t="s">
        <v>256</v>
      </c>
      <c r="E385" s="215">
        <v>34875</v>
      </c>
      <c r="F385" s="122" t="str">
        <f t="shared" si="30"/>
        <v>June</v>
      </c>
      <c r="G385" s="122">
        <f t="shared" ca="1" si="31"/>
        <v>21</v>
      </c>
      <c r="H385" s="122" t="s">
        <v>276</v>
      </c>
      <c r="I385" s="214">
        <v>66920</v>
      </c>
      <c r="J385" s="213">
        <v>2</v>
      </c>
    </row>
    <row r="386" spans="1:10" x14ac:dyDescent="0.25">
      <c r="A386" s="216" t="s">
        <v>727</v>
      </c>
      <c r="B386" s="122" t="s">
        <v>271</v>
      </c>
      <c r="C386" s="122" t="s">
        <v>626</v>
      </c>
      <c r="D386" s="122" t="s">
        <v>256</v>
      </c>
      <c r="E386" s="215">
        <v>40209</v>
      </c>
      <c r="F386" s="122" t="str">
        <f t="shared" si="30"/>
        <v>January</v>
      </c>
      <c r="G386" s="122">
        <f t="shared" ca="1" si="31"/>
        <v>6</v>
      </c>
      <c r="H386" s="122" t="s">
        <v>283</v>
      </c>
      <c r="I386" s="214">
        <v>45260</v>
      </c>
      <c r="J386" s="213">
        <v>4</v>
      </c>
    </row>
    <row r="387" spans="1:10" x14ac:dyDescent="0.25">
      <c r="A387" s="216" t="s">
        <v>1009</v>
      </c>
      <c r="B387" s="122" t="s">
        <v>285</v>
      </c>
      <c r="C387" s="122" t="s">
        <v>626</v>
      </c>
      <c r="D387" s="122" t="s">
        <v>256</v>
      </c>
      <c r="E387" s="215">
        <v>34177</v>
      </c>
      <c r="F387" s="122" t="str">
        <f t="shared" si="30"/>
        <v>July</v>
      </c>
      <c r="G387" s="122">
        <f t="shared" ca="1" si="31"/>
        <v>23</v>
      </c>
      <c r="H387" s="122" t="s">
        <v>283</v>
      </c>
      <c r="I387" s="214">
        <v>65250</v>
      </c>
      <c r="J387" s="213">
        <v>2</v>
      </c>
    </row>
    <row r="388" spans="1:10" x14ac:dyDescent="0.25">
      <c r="A388" s="216" t="s">
        <v>807</v>
      </c>
      <c r="B388" s="122" t="s">
        <v>285</v>
      </c>
      <c r="C388" s="122" t="s">
        <v>626</v>
      </c>
      <c r="D388" s="122" t="s">
        <v>247</v>
      </c>
      <c r="E388" s="215">
        <v>35682</v>
      </c>
      <c r="F388" s="122" t="str">
        <f t="shared" ref="F388:F406" si="32">CHOOSE(MONTH(E388),"January","February","March","April","May","June","July","August","September","October","November","December")</f>
        <v>September</v>
      </c>
      <c r="G388" s="122">
        <f t="shared" ref="G388:G406" ca="1" si="33">DATEDIF(E388,TODAY(),"Y")</f>
        <v>19</v>
      </c>
      <c r="I388" s="214">
        <v>63850</v>
      </c>
      <c r="J388" s="213">
        <v>2</v>
      </c>
    </row>
    <row r="389" spans="1:10" x14ac:dyDescent="0.25">
      <c r="A389" s="216" t="s">
        <v>503</v>
      </c>
      <c r="B389" s="122" t="s">
        <v>245</v>
      </c>
      <c r="C389" s="122" t="s">
        <v>626</v>
      </c>
      <c r="D389" s="122" t="s">
        <v>261</v>
      </c>
      <c r="E389" s="215">
        <v>39098</v>
      </c>
      <c r="F389" s="122" t="str">
        <f t="shared" si="32"/>
        <v>January</v>
      </c>
      <c r="G389" s="122">
        <f t="shared" ca="1" si="33"/>
        <v>9</v>
      </c>
      <c r="H389" s="122" t="s">
        <v>283</v>
      </c>
      <c r="I389" s="214">
        <v>47705</v>
      </c>
      <c r="J389" s="213">
        <v>5</v>
      </c>
    </row>
    <row r="390" spans="1:10" x14ac:dyDescent="0.25">
      <c r="A390" s="216" t="s">
        <v>518</v>
      </c>
      <c r="B390" s="122" t="s">
        <v>280</v>
      </c>
      <c r="C390" s="122" t="s">
        <v>626</v>
      </c>
      <c r="D390" s="122" t="s">
        <v>256</v>
      </c>
      <c r="E390" s="215">
        <v>33247</v>
      </c>
      <c r="F390" s="122" t="str">
        <f t="shared" si="32"/>
        <v>January</v>
      </c>
      <c r="G390" s="122">
        <f t="shared" ca="1" si="33"/>
        <v>25</v>
      </c>
      <c r="H390" s="122" t="s">
        <v>257</v>
      </c>
      <c r="I390" s="214">
        <v>62740</v>
      </c>
      <c r="J390" s="213">
        <v>4</v>
      </c>
    </row>
    <row r="391" spans="1:10" x14ac:dyDescent="0.25">
      <c r="A391" s="216" t="s">
        <v>683</v>
      </c>
      <c r="B391" s="122" t="s">
        <v>285</v>
      </c>
      <c r="C391" s="122" t="s">
        <v>626</v>
      </c>
      <c r="D391" s="122" t="s">
        <v>261</v>
      </c>
      <c r="E391" s="215">
        <v>36094</v>
      </c>
      <c r="F391" s="122" t="str">
        <f t="shared" si="32"/>
        <v>October</v>
      </c>
      <c r="G391" s="122">
        <f t="shared" ca="1" si="33"/>
        <v>18</v>
      </c>
      <c r="H391" s="122" t="s">
        <v>257</v>
      </c>
      <c r="I391" s="214">
        <v>47885</v>
      </c>
      <c r="J391" s="213">
        <v>1</v>
      </c>
    </row>
    <row r="392" spans="1:10" x14ac:dyDescent="0.25">
      <c r="A392" s="216" t="s">
        <v>915</v>
      </c>
      <c r="B392" s="122" t="s">
        <v>251</v>
      </c>
      <c r="C392" s="122" t="s">
        <v>626</v>
      </c>
      <c r="D392" s="122" t="s">
        <v>247</v>
      </c>
      <c r="E392" s="215">
        <v>36199</v>
      </c>
      <c r="F392" s="122" t="str">
        <f t="shared" si="32"/>
        <v>February</v>
      </c>
      <c r="G392" s="122">
        <f t="shared" ca="1" si="33"/>
        <v>17</v>
      </c>
      <c r="I392" s="214">
        <v>31270</v>
      </c>
      <c r="J392" s="213">
        <v>5</v>
      </c>
    </row>
    <row r="393" spans="1:10" x14ac:dyDescent="0.25">
      <c r="A393" s="216" t="s">
        <v>926</v>
      </c>
      <c r="B393" s="122" t="s">
        <v>285</v>
      </c>
      <c r="C393" s="122" t="s">
        <v>626</v>
      </c>
      <c r="D393" s="122" t="s">
        <v>256</v>
      </c>
      <c r="E393" s="215">
        <v>33695</v>
      </c>
      <c r="F393" s="122" t="str">
        <f t="shared" si="32"/>
        <v>April</v>
      </c>
      <c r="G393" s="122">
        <f t="shared" ca="1" si="33"/>
        <v>24</v>
      </c>
      <c r="H393" s="122" t="s">
        <v>262</v>
      </c>
      <c r="I393" s="214">
        <v>60560</v>
      </c>
      <c r="J393" s="213">
        <v>4</v>
      </c>
    </row>
    <row r="394" spans="1:10" x14ac:dyDescent="0.25">
      <c r="A394" s="216" t="s">
        <v>392</v>
      </c>
      <c r="B394" s="122" t="s">
        <v>245</v>
      </c>
      <c r="C394" s="122" t="s">
        <v>626</v>
      </c>
      <c r="D394" s="122" t="s">
        <v>256</v>
      </c>
      <c r="E394" s="215">
        <v>39157</v>
      </c>
      <c r="F394" s="122" t="str">
        <f t="shared" si="32"/>
        <v>March</v>
      </c>
      <c r="G394" s="122">
        <f t="shared" ca="1" si="33"/>
        <v>9</v>
      </c>
      <c r="H394" s="122" t="s">
        <v>283</v>
      </c>
      <c r="I394" s="214">
        <v>47610</v>
      </c>
      <c r="J394" s="213">
        <v>4</v>
      </c>
    </row>
    <row r="395" spans="1:10" x14ac:dyDescent="0.25">
      <c r="A395" s="216" t="s">
        <v>823</v>
      </c>
      <c r="B395" s="122" t="s">
        <v>251</v>
      </c>
      <c r="C395" s="122" t="s">
        <v>626</v>
      </c>
      <c r="D395" s="122" t="s">
        <v>256</v>
      </c>
      <c r="E395" s="215">
        <v>35282</v>
      </c>
      <c r="F395" s="122" t="str">
        <f t="shared" si="32"/>
        <v>August</v>
      </c>
      <c r="G395" s="122">
        <f t="shared" ca="1" si="33"/>
        <v>20</v>
      </c>
      <c r="H395" s="122" t="s">
        <v>257</v>
      </c>
      <c r="I395" s="214">
        <v>57560</v>
      </c>
      <c r="J395" s="213">
        <v>4</v>
      </c>
    </row>
    <row r="396" spans="1:10" x14ac:dyDescent="0.25">
      <c r="A396" s="216" t="s">
        <v>468</v>
      </c>
      <c r="B396" s="122" t="s">
        <v>251</v>
      </c>
      <c r="C396" s="122" t="s">
        <v>626</v>
      </c>
      <c r="D396" s="122" t="s">
        <v>247</v>
      </c>
      <c r="E396" s="215">
        <v>38496</v>
      </c>
      <c r="F396" s="122" t="str">
        <f t="shared" si="32"/>
        <v>May</v>
      </c>
      <c r="G396" s="122">
        <f t="shared" ca="1" si="33"/>
        <v>11</v>
      </c>
      <c r="I396" s="214">
        <v>57520</v>
      </c>
      <c r="J396" s="213">
        <v>3</v>
      </c>
    </row>
    <row r="397" spans="1:10" x14ac:dyDescent="0.25">
      <c r="A397" s="216" t="s">
        <v>656</v>
      </c>
      <c r="B397" s="122" t="s">
        <v>285</v>
      </c>
      <c r="C397" s="122" t="s">
        <v>626</v>
      </c>
      <c r="D397" s="122" t="s">
        <v>247</v>
      </c>
      <c r="E397" s="215">
        <v>36703</v>
      </c>
      <c r="F397" s="122" t="str">
        <f t="shared" si="32"/>
        <v>June</v>
      </c>
      <c r="G397" s="122">
        <f t="shared" ca="1" si="33"/>
        <v>16</v>
      </c>
      <c r="I397" s="214">
        <v>50200</v>
      </c>
      <c r="J397" s="213">
        <v>4</v>
      </c>
    </row>
    <row r="398" spans="1:10" x14ac:dyDescent="0.25">
      <c r="A398" s="216" t="s">
        <v>594</v>
      </c>
      <c r="B398" s="122" t="s">
        <v>245</v>
      </c>
      <c r="C398" s="122" t="s">
        <v>626</v>
      </c>
      <c r="D398" s="122" t="s">
        <v>261</v>
      </c>
      <c r="E398" s="215">
        <v>39871</v>
      </c>
      <c r="F398" s="122" t="str">
        <f t="shared" si="32"/>
        <v>February</v>
      </c>
      <c r="G398" s="122">
        <f t="shared" ca="1" si="33"/>
        <v>7</v>
      </c>
      <c r="H398" s="122" t="s">
        <v>267</v>
      </c>
      <c r="I398" s="214">
        <v>38575</v>
      </c>
      <c r="J398" s="213">
        <v>2</v>
      </c>
    </row>
    <row r="399" spans="1:10" x14ac:dyDescent="0.25">
      <c r="A399" s="216" t="s">
        <v>555</v>
      </c>
      <c r="B399" s="122" t="s">
        <v>280</v>
      </c>
      <c r="C399" s="122" t="s">
        <v>626</v>
      </c>
      <c r="D399" s="122" t="s">
        <v>261</v>
      </c>
      <c r="E399" s="215">
        <v>37141</v>
      </c>
      <c r="F399" s="122" t="str">
        <f t="shared" si="32"/>
        <v>September</v>
      </c>
      <c r="G399" s="122">
        <f t="shared" ca="1" si="33"/>
        <v>15</v>
      </c>
      <c r="H399" s="122" t="s">
        <v>276</v>
      </c>
      <c r="I399" s="214">
        <v>15910</v>
      </c>
      <c r="J399" s="213">
        <v>3</v>
      </c>
    </row>
    <row r="400" spans="1:10" x14ac:dyDescent="0.25">
      <c r="A400" s="216" t="s">
        <v>485</v>
      </c>
      <c r="B400" s="122" t="s">
        <v>245</v>
      </c>
      <c r="C400" s="122" t="s">
        <v>626</v>
      </c>
      <c r="D400" s="122" t="s">
        <v>261</v>
      </c>
      <c r="E400" s="215">
        <v>37138</v>
      </c>
      <c r="F400" s="122" t="str">
        <f t="shared" si="32"/>
        <v>September</v>
      </c>
      <c r="G400" s="122">
        <f t="shared" ca="1" si="33"/>
        <v>15</v>
      </c>
      <c r="H400" s="122" t="s">
        <v>262</v>
      </c>
      <c r="I400" s="214">
        <v>31110</v>
      </c>
      <c r="J400" s="213">
        <v>1</v>
      </c>
    </row>
    <row r="401" spans="1:10" x14ac:dyDescent="0.25">
      <c r="A401" s="216" t="s">
        <v>629</v>
      </c>
      <c r="B401" s="122" t="s">
        <v>285</v>
      </c>
      <c r="C401" s="122" t="s">
        <v>626</v>
      </c>
      <c r="D401" s="122" t="s">
        <v>256</v>
      </c>
      <c r="E401" s="215">
        <v>36463</v>
      </c>
      <c r="F401" s="122" t="str">
        <f t="shared" si="32"/>
        <v>October</v>
      </c>
      <c r="G401" s="122">
        <f t="shared" ca="1" si="33"/>
        <v>17</v>
      </c>
      <c r="H401" s="122" t="s">
        <v>257</v>
      </c>
      <c r="I401" s="214">
        <v>44220</v>
      </c>
      <c r="J401" s="213">
        <v>3</v>
      </c>
    </row>
    <row r="402" spans="1:10" x14ac:dyDescent="0.25">
      <c r="A402" s="216" t="s">
        <v>672</v>
      </c>
      <c r="B402" s="122" t="s">
        <v>266</v>
      </c>
      <c r="C402" s="122" t="s">
        <v>626</v>
      </c>
      <c r="D402" s="122" t="s">
        <v>247</v>
      </c>
      <c r="E402" s="215">
        <v>35518</v>
      </c>
      <c r="F402" s="122" t="str">
        <f t="shared" si="32"/>
        <v>March</v>
      </c>
      <c r="G402" s="122">
        <f t="shared" ca="1" si="33"/>
        <v>19</v>
      </c>
      <c r="I402" s="214">
        <v>53870</v>
      </c>
      <c r="J402" s="213">
        <v>2</v>
      </c>
    </row>
    <row r="403" spans="1:10" x14ac:dyDescent="0.25">
      <c r="A403" s="216" t="s">
        <v>382</v>
      </c>
      <c r="B403" s="122" t="s">
        <v>271</v>
      </c>
      <c r="C403" s="122" t="s">
        <v>626</v>
      </c>
      <c r="D403" s="122" t="s">
        <v>261</v>
      </c>
      <c r="E403" s="215">
        <v>40351</v>
      </c>
      <c r="F403" s="122" t="str">
        <f t="shared" si="32"/>
        <v>June</v>
      </c>
      <c r="G403" s="122">
        <f t="shared" ca="1" si="33"/>
        <v>6</v>
      </c>
      <c r="H403" s="122" t="s">
        <v>283</v>
      </c>
      <c r="I403" s="214">
        <v>20040</v>
      </c>
      <c r="J403" s="213">
        <v>3</v>
      </c>
    </row>
    <row r="404" spans="1:10" x14ac:dyDescent="0.25">
      <c r="A404" s="216" t="s">
        <v>723</v>
      </c>
      <c r="B404" s="122" t="s">
        <v>245</v>
      </c>
      <c r="C404" s="122" t="s">
        <v>626</v>
      </c>
      <c r="D404" s="122" t="s">
        <v>256</v>
      </c>
      <c r="E404" s="215">
        <v>36662</v>
      </c>
      <c r="F404" s="122" t="str">
        <f t="shared" si="32"/>
        <v>May</v>
      </c>
      <c r="G404" s="122">
        <f t="shared" ca="1" si="33"/>
        <v>16</v>
      </c>
      <c r="H404" s="122" t="s">
        <v>283</v>
      </c>
      <c r="I404" s="214">
        <v>52490</v>
      </c>
      <c r="J404" s="213">
        <v>4</v>
      </c>
    </row>
    <row r="405" spans="1:10" x14ac:dyDescent="0.25">
      <c r="A405" s="216" t="s">
        <v>649</v>
      </c>
      <c r="B405" s="122" t="s">
        <v>271</v>
      </c>
      <c r="C405" s="122" t="s">
        <v>626</v>
      </c>
      <c r="D405" s="122" t="s">
        <v>256</v>
      </c>
      <c r="E405" s="215">
        <v>36456</v>
      </c>
      <c r="F405" s="122" t="str">
        <f t="shared" si="32"/>
        <v>October</v>
      </c>
      <c r="G405" s="122">
        <f t="shared" ca="1" si="33"/>
        <v>17</v>
      </c>
      <c r="H405" s="122" t="s">
        <v>283</v>
      </c>
      <c r="I405" s="214">
        <v>43460</v>
      </c>
      <c r="J405" s="213">
        <v>5</v>
      </c>
    </row>
    <row r="406" spans="1:10" x14ac:dyDescent="0.25">
      <c r="A406" s="216" t="s">
        <v>801</v>
      </c>
      <c r="B406" s="122" t="s">
        <v>251</v>
      </c>
      <c r="C406" s="122" t="s">
        <v>626</v>
      </c>
      <c r="D406" s="122" t="s">
        <v>256</v>
      </c>
      <c r="E406" s="215">
        <v>36392</v>
      </c>
      <c r="F406" s="122" t="str">
        <f t="shared" si="32"/>
        <v>August</v>
      </c>
      <c r="G406" s="122">
        <f t="shared" ca="1" si="33"/>
        <v>17</v>
      </c>
      <c r="H406" s="122" t="s">
        <v>283</v>
      </c>
      <c r="I406" s="214">
        <v>51410</v>
      </c>
      <c r="J406" s="213">
        <v>4</v>
      </c>
    </row>
    <row r="407" spans="1:10" x14ac:dyDescent="0.25">
      <c r="A407" s="217" t="s">
        <v>678</v>
      </c>
    </row>
    <row r="408" spans="1:10" x14ac:dyDescent="0.25">
      <c r="A408" s="216" t="s">
        <v>922</v>
      </c>
      <c r="B408" s="122" t="s">
        <v>285</v>
      </c>
      <c r="C408" s="122" t="s">
        <v>678</v>
      </c>
      <c r="D408" s="122" t="s">
        <v>256</v>
      </c>
      <c r="E408" s="215">
        <v>33904</v>
      </c>
      <c r="F408" s="122" t="str">
        <f t="shared" ref="F408:F428" si="34">CHOOSE(MONTH(E408),"January","February","March","April","May","June","July","August","September","October","November","December")</f>
        <v>October</v>
      </c>
      <c r="G408" s="122">
        <f t="shared" ref="G408:G428" ca="1" si="35">DATEDIF(E408,TODAY(),"Y")</f>
        <v>24</v>
      </c>
      <c r="H408" s="122" t="s">
        <v>262</v>
      </c>
      <c r="I408" s="214">
        <v>87980</v>
      </c>
      <c r="J408" s="213">
        <v>1</v>
      </c>
    </row>
    <row r="409" spans="1:10" x14ac:dyDescent="0.25">
      <c r="A409" s="216" t="s">
        <v>644</v>
      </c>
      <c r="B409" s="122" t="s">
        <v>280</v>
      </c>
      <c r="C409" s="122" t="s">
        <v>678</v>
      </c>
      <c r="D409" s="122" t="s">
        <v>256</v>
      </c>
      <c r="E409" s="215">
        <v>33617</v>
      </c>
      <c r="F409" s="122" t="str">
        <f t="shared" si="34"/>
        <v>January</v>
      </c>
      <c r="G409" s="122">
        <f t="shared" ca="1" si="35"/>
        <v>24</v>
      </c>
      <c r="H409" s="122" t="s">
        <v>257</v>
      </c>
      <c r="I409" s="214">
        <v>39110</v>
      </c>
      <c r="J409" s="213">
        <v>5</v>
      </c>
    </row>
    <row r="410" spans="1:10" x14ac:dyDescent="0.25">
      <c r="A410" s="216" t="s">
        <v>441</v>
      </c>
      <c r="B410" s="122" t="s">
        <v>251</v>
      </c>
      <c r="C410" s="122" t="s">
        <v>678</v>
      </c>
      <c r="D410" s="122" t="s">
        <v>247</v>
      </c>
      <c r="E410" s="215">
        <v>35724</v>
      </c>
      <c r="F410" s="122" t="str">
        <f t="shared" si="34"/>
        <v>October</v>
      </c>
      <c r="G410" s="122">
        <f t="shared" ca="1" si="35"/>
        <v>19</v>
      </c>
      <c r="I410" s="214">
        <v>86470</v>
      </c>
      <c r="J410" s="213">
        <v>4</v>
      </c>
    </row>
    <row r="411" spans="1:10" x14ac:dyDescent="0.25">
      <c r="A411" s="216" t="s">
        <v>542</v>
      </c>
      <c r="B411" s="122" t="s">
        <v>271</v>
      </c>
      <c r="C411" s="122" t="s">
        <v>678</v>
      </c>
      <c r="D411" s="122" t="s">
        <v>256</v>
      </c>
      <c r="E411" s="215">
        <v>36175</v>
      </c>
      <c r="F411" s="122" t="str">
        <f t="shared" si="34"/>
        <v>January</v>
      </c>
      <c r="G411" s="122">
        <f t="shared" ca="1" si="35"/>
        <v>17</v>
      </c>
      <c r="H411" s="122" t="s">
        <v>283</v>
      </c>
      <c r="I411" s="214">
        <v>23520</v>
      </c>
      <c r="J411" s="213">
        <v>2</v>
      </c>
    </row>
    <row r="412" spans="1:10" x14ac:dyDescent="0.25">
      <c r="A412" s="216" t="s">
        <v>337</v>
      </c>
      <c r="B412" s="122" t="s">
        <v>280</v>
      </c>
      <c r="C412" s="122" t="s">
        <v>678</v>
      </c>
      <c r="D412" s="122" t="s">
        <v>261</v>
      </c>
      <c r="E412" s="215">
        <v>35150</v>
      </c>
      <c r="F412" s="122" t="str">
        <f t="shared" si="34"/>
        <v>March</v>
      </c>
      <c r="G412" s="122">
        <f t="shared" ca="1" si="35"/>
        <v>20</v>
      </c>
      <c r="H412" s="122" t="s">
        <v>257</v>
      </c>
      <c r="I412" s="214">
        <v>49405</v>
      </c>
      <c r="J412" s="213">
        <v>4</v>
      </c>
    </row>
    <row r="413" spans="1:10" x14ac:dyDescent="0.25">
      <c r="A413" s="216" t="s">
        <v>720</v>
      </c>
      <c r="B413" s="122" t="s">
        <v>285</v>
      </c>
      <c r="C413" s="122" t="s">
        <v>678</v>
      </c>
      <c r="D413" s="122" t="s">
        <v>256</v>
      </c>
      <c r="E413" s="215">
        <v>35121</v>
      </c>
      <c r="F413" s="122" t="str">
        <f t="shared" si="34"/>
        <v>February</v>
      </c>
      <c r="G413" s="122">
        <f t="shared" ca="1" si="35"/>
        <v>20</v>
      </c>
      <c r="H413" s="122" t="s">
        <v>283</v>
      </c>
      <c r="I413" s="214">
        <v>22860</v>
      </c>
      <c r="J413" s="213">
        <v>5</v>
      </c>
    </row>
    <row r="414" spans="1:10" x14ac:dyDescent="0.25">
      <c r="A414" s="216" t="s">
        <v>300</v>
      </c>
      <c r="B414" s="122" t="s">
        <v>285</v>
      </c>
      <c r="C414" s="122" t="s">
        <v>678</v>
      </c>
      <c r="D414" s="122" t="s">
        <v>247</v>
      </c>
      <c r="E414" s="215">
        <v>37803</v>
      </c>
      <c r="F414" s="122" t="str">
        <f t="shared" si="34"/>
        <v>July</v>
      </c>
      <c r="G414" s="122">
        <f t="shared" ca="1" si="35"/>
        <v>13</v>
      </c>
      <c r="I414" s="214">
        <v>78100</v>
      </c>
      <c r="J414" s="213">
        <v>3</v>
      </c>
    </row>
    <row r="415" spans="1:10" x14ac:dyDescent="0.25">
      <c r="A415" s="216" t="s">
        <v>622</v>
      </c>
      <c r="B415" s="122" t="s">
        <v>271</v>
      </c>
      <c r="C415" s="122" t="s">
        <v>678</v>
      </c>
      <c r="D415" s="122" t="s">
        <v>247</v>
      </c>
      <c r="E415" s="215">
        <v>40372</v>
      </c>
      <c r="F415" s="122" t="str">
        <f t="shared" si="34"/>
        <v>July</v>
      </c>
      <c r="G415" s="122">
        <f t="shared" ca="1" si="35"/>
        <v>6</v>
      </c>
      <c r="I415" s="214">
        <v>75100</v>
      </c>
      <c r="J415" s="213">
        <v>4</v>
      </c>
    </row>
    <row r="416" spans="1:10" x14ac:dyDescent="0.25">
      <c r="A416" s="216" t="s">
        <v>326</v>
      </c>
      <c r="B416" s="122" t="s">
        <v>251</v>
      </c>
      <c r="C416" s="122" t="s">
        <v>678</v>
      </c>
      <c r="D416" s="122" t="s">
        <v>247</v>
      </c>
      <c r="E416" s="215">
        <v>40333</v>
      </c>
      <c r="F416" s="122" t="str">
        <f t="shared" si="34"/>
        <v>June</v>
      </c>
      <c r="G416" s="122">
        <f t="shared" ca="1" si="35"/>
        <v>6</v>
      </c>
      <c r="I416" s="214">
        <v>74020</v>
      </c>
      <c r="J416" s="213">
        <v>2</v>
      </c>
    </row>
    <row r="417" spans="1:10" x14ac:dyDescent="0.25">
      <c r="A417" s="216" t="s">
        <v>353</v>
      </c>
      <c r="B417" s="122" t="s">
        <v>271</v>
      </c>
      <c r="C417" s="122" t="s">
        <v>678</v>
      </c>
      <c r="D417" s="122" t="s">
        <v>261</v>
      </c>
      <c r="E417" s="215">
        <v>35961</v>
      </c>
      <c r="F417" s="122" t="str">
        <f t="shared" si="34"/>
        <v>June</v>
      </c>
      <c r="G417" s="122">
        <f t="shared" ca="1" si="35"/>
        <v>18</v>
      </c>
      <c r="H417" s="122" t="s">
        <v>257</v>
      </c>
      <c r="I417" s="214">
        <v>20500</v>
      </c>
      <c r="J417" s="213">
        <v>3</v>
      </c>
    </row>
    <row r="418" spans="1:10" x14ac:dyDescent="0.25">
      <c r="A418" s="216" t="s">
        <v>409</v>
      </c>
      <c r="B418" s="122" t="s">
        <v>280</v>
      </c>
      <c r="C418" s="122" t="s">
        <v>678</v>
      </c>
      <c r="D418" s="122" t="s">
        <v>256</v>
      </c>
      <c r="E418" s="215">
        <v>36567</v>
      </c>
      <c r="F418" s="122" t="str">
        <f t="shared" si="34"/>
        <v>February</v>
      </c>
      <c r="G418" s="122">
        <f t="shared" ca="1" si="35"/>
        <v>16</v>
      </c>
      <c r="H418" s="122" t="s">
        <v>276</v>
      </c>
      <c r="I418" s="214">
        <v>45450</v>
      </c>
      <c r="J418" s="213">
        <v>5</v>
      </c>
    </row>
    <row r="419" spans="1:10" x14ac:dyDescent="0.25">
      <c r="A419" s="216" t="s">
        <v>814</v>
      </c>
      <c r="B419" s="122" t="s">
        <v>245</v>
      </c>
      <c r="C419" s="122" t="s">
        <v>678</v>
      </c>
      <c r="D419" s="122" t="s">
        <v>247</v>
      </c>
      <c r="E419" s="215">
        <v>36047</v>
      </c>
      <c r="F419" s="122" t="str">
        <f t="shared" si="34"/>
        <v>September</v>
      </c>
      <c r="G419" s="122">
        <f t="shared" ca="1" si="35"/>
        <v>18</v>
      </c>
      <c r="I419" s="214">
        <v>72480</v>
      </c>
      <c r="J419" s="213">
        <v>2</v>
      </c>
    </row>
    <row r="420" spans="1:10" x14ac:dyDescent="0.25">
      <c r="A420" s="216" t="s">
        <v>551</v>
      </c>
      <c r="B420" s="122" t="s">
        <v>271</v>
      </c>
      <c r="C420" s="122" t="s">
        <v>678</v>
      </c>
      <c r="D420" s="122" t="s">
        <v>256</v>
      </c>
      <c r="E420" s="215">
        <v>36898</v>
      </c>
      <c r="F420" s="122" t="str">
        <f t="shared" si="34"/>
        <v>January</v>
      </c>
      <c r="G420" s="122">
        <f t="shared" ca="1" si="35"/>
        <v>15</v>
      </c>
      <c r="H420" s="122" t="s">
        <v>257</v>
      </c>
      <c r="I420" s="214">
        <v>71820</v>
      </c>
      <c r="J420" s="213">
        <v>2</v>
      </c>
    </row>
    <row r="421" spans="1:10" x14ac:dyDescent="0.25">
      <c r="A421" s="216" t="s">
        <v>473</v>
      </c>
      <c r="B421" s="122" t="s">
        <v>266</v>
      </c>
      <c r="C421" s="122" t="s">
        <v>678</v>
      </c>
      <c r="D421" s="122" t="s">
        <v>256</v>
      </c>
      <c r="E421" s="215">
        <v>36466</v>
      </c>
      <c r="F421" s="122" t="str">
        <f t="shared" si="34"/>
        <v>November</v>
      </c>
      <c r="G421" s="122">
        <f t="shared" ca="1" si="35"/>
        <v>17</v>
      </c>
      <c r="H421" s="122" t="s">
        <v>283</v>
      </c>
      <c r="I421" s="214">
        <v>68410</v>
      </c>
      <c r="J421" s="213">
        <v>5</v>
      </c>
    </row>
    <row r="422" spans="1:10" x14ac:dyDescent="0.25">
      <c r="A422" s="216" t="s">
        <v>637</v>
      </c>
      <c r="B422" s="122" t="s">
        <v>271</v>
      </c>
      <c r="C422" s="122" t="s">
        <v>678</v>
      </c>
      <c r="D422" s="122" t="s">
        <v>252</v>
      </c>
      <c r="E422" s="215">
        <v>35381</v>
      </c>
      <c r="F422" s="122" t="str">
        <f t="shared" si="34"/>
        <v>November</v>
      </c>
      <c r="G422" s="122">
        <f t="shared" ca="1" si="35"/>
        <v>20</v>
      </c>
      <c r="I422" s="214">
        <v>35312</v>
      </c>
      <c r="J422" s="213">
        <v>3</v>
      </c>
    </row>
    <row r="423" spans="1:10" x14ac:dyDescent="0.25">
      <c r="A423" s="216" t="s">
        <v>909</v>
      </c>
      <c r="B423" s="122" t="s">
        <v>280</v>
      </c>
      <c r="C423" s="122" t="s">
        <v>678</v>
      </c>
      <c r="D423" s="122" t="s">
        <v>256</v>
      </c>
      <c r="E423" s="215">
        <v>40533</v>
      </c>
      <c r="F423" s="122" t="str">
        <f t="shared" si="34"/>
        <v>December</v>
      </c>
      <c r="G423" s="122">
        <f t="shared" ca="1" si="35"/>
        <v>5</v>
      </c>
      <c r="H423" s="122" t="s">
        <v>276</v>
      </c>
      <c r="I423" s="214">
        <v>62180</v>
      </c>
      <c r="J423" s="213">
        <v>2</v>
      </c>
    </row>
    <row r="424" spans="1:10" x14ac:dyDescent="0.25">
      <c r="A424" s="216" t="s">
        <v>728</v>
      </c>
      <c r="B424" s="122" t="s">
        <v>245</v>
      </c>
      <c r="C424" s="122" t="s">
        <v>678</v>
      </c>
      <c r="D424" s="122" t="s">
        <v>247</v>
      </c>
      <c r="E424" s="215">
        <v>37236</v>
      </c>
      <c r="F424" s="122" t="str">
        <f t="shared" si="34"/>
        <v>December</v>
      </c>
      <c r="G424" s="122">
        <f t="shared" ca="1" si="35"/>
        <v>14</v>
      </c>
      <c r="I424" s="214">
        <v>29540</v>
      </c>
      <c r="J424" s="213">
        <v>3</v>
      </c>
    </row>
    <row r="425" spans="1:10" x14ac:dyDescent="0.25">
      <c r="A425" s="216" t="s">
        <v>967</v>
      </c>
      <c r="B425" s="122" t="s">
        <v>285</v>
      </c>
      <c r="C425" s="122" t="s">
        <v>678</v>
      </c>
      <c r="D425" s="122" t="s">
        <v>256</v>
      </c>
      <c r="E425" s="215">
        <v>33741</v>
      </c>
      <c r="F425" s="122" t="str">
        <f t="shared" si="34"/>
        <v>May</v>
      </c>
      <c r="G425" s="122">
        <f t="shared" ca="1" si="35"/>
        <v>24</v>
      </c>
      <c r="H425" s="122" t="s">
        <v>257</v>
      </c>
      <c r="I425" s="214">
        <v>48550</v>
      </c>
      <c r="J425" s="213">
        <v>5</v>
      </c>
    </row>
    <row r="426" spans="1:10" x14ac:dyDescent="0.25">
      <c r="A426" s="216" t="s">
        <v>299</v>
      </c>
      <c r="B426" s="122" t="s">
        <v>271</v>
      </c>
      <c r="C426" s="122" t="s">
        <v>678</v>
      </c>
      <c r="D426" s="122" t="s">
        <v>252</v>
      </c>
      <c r="E426" s="215">
        <v>36084</v>
      </c>
      <c r="F426" s="122" t="str">
        <f t="shared" si="34"/>
        <v>October</v>
      </c>
      <c r="G426" s="122">
        <f t="shared" ca="1" si="35"/>
        <v>18</v>
      </c>
      <c r="I426" s="214">
        <v>21668</v>
      </c>
      <c r="J426" s="213">
        <v>4</v>
      </c>
    </row>
    <row r="427" spans="1:10" x14ac:dyDescent="0.25">
      <c r="A427" s="216" t="s">
        <v>387</v>
      </c>
      <c r="B427" s="122" t="s">
        <v>266</v>
      </c>
      <c r="C427" s="122" t="s">
        <v>678</v>
      </c>
      <c r="D427" s="122" t="s">
        <v>252</v>
      </c>
      <c r="E427" s="215">
        <v>37827</v>
      </c>
      <c r="F427" s="122" t="str">
        <f t="shared" si="34"/>
        <v>July</v>
      </c>
      <c r="G427" s="122">
        <f t="shared" ca="1" si="35"/>
        <v>13</v>
      </c>
      <c r="I427" s="214">
        <v>11044</v>
      </c>
      <c r="J427" s="213">
        <v>2</v>
      </c>
    </row>
    <row r="428" spans="1:10" x14ac:dyDescent="0.25">
      <c r="A428" s="216" t="s">
        <v>852</v>
      </c>
      <c r="B428" s="122" t="s">
        <v>285</v>
      </c>
      <c r="C428" s="122" t="s">
        <v>678</v>
      </c>
      <c r="D428" s="122" t="s">
        <v>247</v>
      </c>
      <c r="E428" s="215">
        <v>35447</v>
      </c>
      <c r="F428" s="122" t="str">
        <f t="shared" si="34"/>
        <v>January</v>
      </c>
      <c r="G428" s="122">
        <f t="shared" ca="1" si="35"/>
        <v>19</v>
      </c>
      <c r="I428" s="214">
        <v>54190</v>
      </c>
      <c r="J428" s="213">
        <v>4</v>
      </c>
    </row>
    <row r="429" spans="1:10" x14ac:dyDescent="0.25">
      <c r="A429" s="217" t="s">
        <v>700</v>
      </c>
    </row>
    <row r="430" spans="1:10" x14ac:dyDescent="0.25">
      <c r="A430" s="216" t="s">
        <v>554</v>
      </c>
      <c r="B430" s="122" t="s">
        <v>245</v>
      </c>
      <c r="C430" s="122" t="s">
        <v>700</v>
      </c>
      <c r="D430" s="122" t="s">
        <v>247</v>
      </c>
      <c r="E430" s="215">
        <v>35451</v>
      </c>
      <c r="F430" s="122" t="str">
        <f>CHOOSE(MONTH(E430),"January","February","March","April","May","June","July","August","September","October","November","December")</f>
        <v>January</v>
      </c>
      <c r="G430" s="122">
        <f ca="1">DATEDIF(E430,TODAY(),"Y")</f>
        <v>19</v>
      </c>
      <c r="I430" s="214">
        <v>25120</v>
      </c>
      <c r="J430" s="213">
        <v>2</v>
      </c>
    </row>
    <row r="431" spans="1:10" x14ac:dyDescent="0.25">
      <c r="A431" s="216" t="s">
        <v>834</v>
      </c>
      <c r="B431" s="122" t="s">
        <v>271</v>
      </c>
      <c r="C431" s="122" t="s">
        <v>700</v>
      </c>
      <c r="D431" s="122" t="s">
        <v>247</v>
      </c>
      <c r="E431" s="215">
        <v>35567</v>
      </c>
      <c r="F431" s="122" t="str">
        <f>CHOOSE(MONTH(E431),"January","February","March","April","May","June","July","August","September","October","November","December")</f>
        <v>May</v>
      </c>
      <c r="G431" s="122">
        <f ca="1">DATEDIF(E431,TODAY(),"Y")</f>
        <v>19</v>
      </c>
      <c r="I431" s="214">
        <v>44820</v>
      </c>
      <c r="J431" s="213">
        <v>4</v>
      </c>
    </row>
    <row r="432" spans="1:10" x14ac:dyDescent="0.25">
      <c r="A432" s="216" t="s">
        <v>464</v>
      </c>
      <c r="B432" s="122" t="s">
        <v>245</v>
      </c>
      <c r="C432" s="122" t="s">
        <v>700</v>
      </c>
      <c r="D432" s="122" t="s">
        <v>247</v>
      </c>
      <c r="E432" s="215">
        <v>34408</v>
      </c>
      <c r="F432" s="122" t="str">
        <f>CHOOSE(MONTH(E432),"January","February","March","April","May","June","July","August","September","October","November","December")</f>
        <v>March</v>
      </c>
      <c r="G432" s="122">
        <f ca="1">DATEDIF(E432,TODAY(),"Y")</f>
        <v>22</v>
      </c>
      <c r="I432" s="214">
        <v>71700</v>
      </c>
      <c r="J432" s="213">
        <v>2</v>
      </c>
    </row>
    <row r="433" spans="1:10" x14ac:dyDescent="0.25">
      <c r="A433" s="216" t="s">
        <v>291</v>
      </c>
      <c r="B433" s="122" t="s">
        <v>285</v>
      </c>
      <c r="C433" s="122" t="s">
        <v>700</v>
      </c>
      <c r="D433" s="122" t="s">
        <v>256</v>
      </c>
      <c r="E433" s="215">
        <v>34814</v>
      </c>
      <c r="F433" s="122" t="str">
        <f>CHOOSE(MONTH(E433),"January","February","March","April","May","June","July","August","September","October","November","December")</f>
        <v>April</v>
      </c>
      <c r="G433" s="122">
        <f ca="1">DATEDIF(E433,TODAY(),"Y")</f>
        <v>21</v>
      </c>
      <c r="H433" s="122" t="s">
        <v>257</v>
      </c>
      <c r="I433" s="214">
        <v>63190</v>
      </c>
      <c r="J433" s="213">
        <v>1</v>
      </c>
    </row>
    <row r="434" spans="1:10" x14ac:dyDescent="0.25">
      <c r="A434" s="217" t="s">
        <v>705</v>
      </c>
    </row>
    <row r="435" spans="1:10" x14ac:dyDescent="0.25">
      <c r="A435" s="216" t="s">
        <v>451</v>
      </c>
      <c r="B435" s="122" t="s">
        <v>285</v>
      </c>
      <c r="C435" s="122" t="s">
        <v>705</v>
      </c>
      <c r="D435" s="122" t="s">
        <v>256</v>
      </c>
      <c r="E435" s="215">
        <v>39485</v>
      </c>
      <c r="F435" s="122" t="str">
        <f t="shared" ref="F435:F478" si="36">CHOOSE(MONTH(E435),"January","February","March","April","May","June","July","August","September","October","November","December")</f>
        <v>February</v>
      </c>
      <c r="G435" s="122">
        <f t="shared" ref="G435:G478" ca="1" si="37">DATEDIF(E435,TODAY(),"Y")</f>
        <v>8</v>
      </c>
      <c r="H435" s="122" t="s">
        <v>257</v>
      </c>
      <c r="I435" s="214">
        <v>88850</v>
      </c>
      <c r="J435" s="213">
        <v>3</v>
      </c>
    </row>
    <row r="436" spans="1:10" x14ac:dyDescent="0.25">
      <c r="A436" s="216" t="s">
        <v>646</v>
      </c>
      <c r="B436" s="122" t="s">
        <v>280</v>
      </c>
      <c r="C436" s="122" t="s">
        <v>705</v>
      </c>
      <c r="D436" s="122" t="s">
        <v>256</v>
      </c>
      <c r="E436" s="215">
        <v>34702</v>
      </c>
      <c r="F436" s="122" t="str">
        <f t="shared" si="36"/>
        <v>January</v>
      </c>
      <c r="G436" s="122">
        <f t="shared" ca="1" si="37"/>
        <v>21</v>
      </c>
      <c r="H436" s="122" t="s">
        <v>257</v>
      </c>
      <c r="I436" s="214">
        <v>87030</v>
      </c>
      <c r="J436" s="213">
        <v>3</v>
      </c>
    </row>
    <row r="437" spans="1:10" x14ac:dyDescent="0.25">
      <c r="A437" s="216" t="s">
        <v>888</v>
      </c>
      <c r="B437" s="122" t="s">
        <v>245</v>
      </c>
      <c r="C437" s="122" t="s">
        <v>705</v>
      </c>
      <c r="D437" s="122" t="s">
        <v>261</v>
      </c>
      <c r="E437" s="215">
        <v>37470</v>
      </c>
      <c r="F437" s="122" t="str">
        <f t="shared" si="36"/>
        <v>August</v>
      </c>
      <c r="G437" s="122">
        <f t="shared" ca="1" si="37"/>
        <v>14</v>
      </c>
      <c r="H437" s="122" t="s">
        <v>257</v>
      </c>
      <c r="I437" s="214">
        <v>33810</v>
      </c>
      <c r="J437" s="213">
        <v>5</v>
      </c>
    </row>
    <row r="438" spans="1:10" x14ac:dyDescent="0.25">
      <c r="A438" s="216" t="s">
        <v>688</v>
      </c>
      <c r="B438" s="122" t="s">
        <v>271</v>
      </c>
      <c r="C438" s="122" t="s">
        <v>705</v>
      </c>
      <c r="D438" s="122" t="s">
        <v>256</v>
      </c>
      <c r="E438" s="215">
        <v>38227</v>
      </c>
      <c r="F438" s="122" t="str">
        <f t="shared" si="36"/>
        <v>August</v>
      </c>
      <c r="G438" s="122">
        <f t="shared" ca="1" si="37"/>
        <v>12</v>
      </c>
      <c r="H438" s="122" t="s">
        <v>283</v>
      </c>
      <c r="I438" s="214">
        <v>86200</v>
      </c>
      <c r="J438" s="213">
        <v>3</v>
      </c>
    </row>
    <row r="439" spans="1:10" x14ac:dyDescent="0.25">
      <c r="A439" s="216" t="s">
        <v>928</v>
      </c>
      <c r="B439" s="122" t="s">
        <v>271</v>
      </c>
      <c r="C439" s="122" t="s">
        <v>705</v>
      </c>
      <c r="D439" s="122" t="s">
        <v>252</v>
      </c>
      <c r="E439" s="215">
        <v>36329</v>
      </c>
      <c r="F439" s="122" t="str">
        <f t="shared" si="36"/>
        <v>June</v>
      </c>
      <c r="G439" s="122">
        <f t="shared" ca="1" si="37"/>
        <v>17</v>
      </c>
      <c r="I439" s="214">
        <v>39764</v>
      </c>
      <c r="J439" s="213">
        <v>1</v>
      </c>
    </row>
    <row r="440" spans="1:10" x14ac:dyDescent="0.25">
      <c r="A440" s="216" t="s">
        <v>874</v>
      </c>
      <c r="B440" s="122" t="s">
        <v>251</v>
      </c>
      <c r="C440" s="122" t="s">
        <v>705</v>
      </c>
      <c r="D440" s="122" t="s">
        <v>261</v>
      </c>
      <c r="E440" s="215">
        <v>39299</v>
      </c>
      <c r="F440" s="122" t="str">
        <f t="shared" si="36"/>
        <v>August</v>
      </c>
      <c r="G440" s="122">
        <f t="shared" ca="1" si="37"/>
        <v>9</v>
      </c>
      <c r="H440" s="122" t="s">
        <v>276</v>
      </c>
      <c r="I440" s="214">
        <v>47760</v>
      </c>
      <c r="J440" s="213">
        <v>3</v>
      </c>
    </row>
    <row r="441" spans="1:10" x14ac:dyDescent="0.25">
      <c r="A441" s="216" t="s">
        <v>991</v>
      </c>
      <c r="B441" s="122" t="s">
        <v>251</v>
      </c>
      <c r="C441" s="122" t="s">
        <v>705</v>
      </c>
      <c r="D441" s="122" t="s">
        <v>247</v>
      </c>
      <c r="E441" s="215">
        <v>40620</v>
      </c>
      <c r="F441" s="122" t="str">
        <f t="shared" si="36"/>
        <v>March</v>
      </c>
      <c r="G441" s="122">
        <f t="shared" ca="1" si="37"/>
        <v>5</v>
      </c>
      <c r="I441" s="214">
        <v>84300</v>
      </c>
      <c r="J441" s="213">
        <v>1</v>
      </c>
    </row>
    <row r="442" spans="1:10" x14ac:dyDescent="0.25">
      <c r="A442" s="216" t="s">
        <v>408</v>
      </c>
      <c r="B442" s="122" t="s">
        <v>271</v>
      </c>
      <c r="C442" s="122" t="s">
        <v>705</v>
      </c>
      <c r="D442" s="122" t="s">
        <v>252</v>
      </c>
      <c r="E442" s="215">
        <v>40452</v>
      </c>
      <c r="F442" s="122" t="str">
        <f t="shared" si="36"/>
        <v>October</v>
      </c>
      <c r="G442" s="122">
        <f t="shared" ca="1" si="37"/>
        <v>6</v>
      </c>
      <c r="I442" s="214">
        <v>9180</v>
      </c>
      <c r="J442" s="213">
        <v>3</v>
      </c>
    </row>
    <row r="443" spans="1:10" x14ac:dyDescent="0.25">
      <c r="A443" s="216" t="s">
        <v>600</v>
      </c>
      <c r="B443" s="122" t="s">
        <v>245</v>
      </c>
      <c r="C443" s="122" t="s">
        <v>705</v>
      </c>
      <c r="D443" s="122" t="s">
        <v>256</v>
      </c>
      <c r="E443" s="215">
        <v>39657</v>
      </c>
      <c r="F443" s="122" t="str">
        <f t="shared" si="36"/>
        <v>July</v>
      </c>
      <c r="G443" s="122">
        <f t="shared" ca="1" si="37"/>
        <v>8</v>
      </c>
      <c r="H443" s="122" t="s">
        <v>276</v>
      </c>
      <c r="I443" s="214">
        <v>80880</v>
      </c>
      <c r="J443" s="213">
        <v>1</v>
      </c>
    </row>
    <row r="444" spans="1:10" x14ac:dyDescent="0.25">
      <c r="A444" s="216" t="s">
        <v>947</v>
      </c>
      <c r="B444" s="122" t="s">
        <v>271</v>
      </c>
      <c r="C444" s="122" t="s">
        <v>705</v>
      </c>
      <c r="D444" s="122" t="s">
        <v>252</v>
      </c>
      <c r="E444" s="215">
        <v>37711</v>
      </c>
      <c r="F444" s="122" t="str">
        <f t="shared" si="36"/>
        <v>March</v>
      </c>
      <c r="G444" s="122">
        <f t="shared" ca="1" si="37"/>
        <v>13</v>
      </c>
      <c r="I444" s="214">
        <v>21648</v>
      </c>
      <c r="J444" s="213">
        <v>2</v>
      </c>
    </row>
    <row r="445" spans="1:10" x14ac:dyDescent="0.25">
      <c r="A445" s="216" t="s">
        <v>535</v>
      </c>
      <c r="B445" s="122" t="s">
        <v>266</v>
      </c>
      <c r="C445" s="122" t="s">
        <v>705</v>
      </c>
      <c r="D445" s="122" t="s">
        <v>256</v>
      </c>
      <c r="E445" s="215">
        <v>39678</v>
      </c>
      <c r="F445" s="122" t="str">
        <f t="shared" si="36"/>
        <v>August</v>
      </c>
      <c r="G445" s="122">
        <f t="shared" ca="1" si="37"/>
        <v>8</v>
      </c>
      <c r="H445" s="122" t="s">
        <v>283</v>
      </c>
      <c r="I445" s="214">
        <v>80090</v>
      </c>
      <c r="J445" s="213">
        <v>2</v>
      </c>
    </row>
    <row r="446" spans="1:10" x14ac:dyDescent="0.25">
      <c r="A446" s="216" t="s">
        <v>849</v>
      </c>
      <c r="B446" s="122" t="s">
        <v>285</v>
      </c>
      <c r="C446" s="122" t="s">
        <v>705</v>
      </c>
      <c r="D446" s="122" t="s">
        <v>256</v>
      </c>
      <c r="E446" s="215">
        <v>33642</v>
      </c>
      <c r="F446" s="122" t="str">
        <f t="shared" si="36"/>
        <v>February</v>
      </c>
      <c r="G446" s="122">
        <f t="shared" ca="1" si="37"/>
        <v>24</v>
      </c>
      <c r="H446" s="122" t="s">
        <v>257</v>
      </c>
      <c r="I446" s="214">
        <v>79770</v>
      </c>
      <c r="J446" s="213">
        <v>4</v>
      </c>
    </row>
    <row r="447" spans="1:10" x14ac:dyDescent="0.25">
      <c r="A447" s="216" t="s">
        <v>365</v>
      </c>
      <c r="B447" s="122" t="s">
        <v>271</v>
      </c>
      <c r="C447" s="122" t="s">
        <v>705</v>
      </c>
      <c r="D447" s="122" t="s">
        <v>256</v>
      </c>
      <c r="E447" s="215">
        <v>33881</v>
      </c>
      <c r="F447" s="122" t="str">
        <f t="shared" si="36"/>
        <v>October</v>
      </c>
      <c r="G447" s="122">
        <f t="shared" ca="1" si="37"/>
        <v>24</v>
      </c>
      <c r="H447" s="122" t="s">
        <v>276</v>
      </c>
      <c r="I447" s="214">
        <v>46910</v>
      </c>
      <c r="J447" s="213">
        <v>3</v>
      </c>
    </row>
    <row r="448" spans="1:10" x14ac:dyDescent="0.25">
      <c r="A448" s="216" t="s">
        <v>443</v>
      </c>
      <c r="B448" s="122" t="s">
        <v>271</v>
      </c>
      <c r="C448" s="122" t="s">
        <v>705</v>
      </c>
      <c r="D448" s="122" t="s">
        <v>256</v>
      </c>
      <c r="E448" s="215">
        <v>35412</v>
      </c>
      <c r="F448" s="122" t="str">
        <f t="shared" si="36"/>
        <v>December</v>
      </c>
      <c r="G448" s="122">
        <f t="shared" ca="1" si="37"/>
        <v>19</v>
      </c>
      <c r="H448" s="122" t="s">
        <v>262</v>
      </c>
      <c r="I448" s="214">
        <v>77950</v>
      </c>
      <c r="J448" s="213">
        <v>4</v>
      </c>
    </row>
    <row r="449" spans="1:10" x14ac:dyDescent="0.25">
      <c r="A449" s="216" t="s">
        <v>952</v>
      </c>
      <c r="B449" s="122" t="s">
        <v>266</v>
      </c>
      <c r="C449" s="122" t="s">
        <v>705</v>
      </c>
      <c r="D449" s="122" t="s">
        <v>256</v>
      </c>
      <c r="E449" s="215">
        <v>34740</v>
      </c>
      <c r="F449" s="122" t="str">
        <f t="shared" si="36"/>
        <v>February</v>
      </c>
      <c r="G449" s="122">
        <f t="shared" ca="1" si="37"/>
        <v>21</v>
      </c>
      <c r="H449" s="122" t="s">
        <v>267</v>
      </c>
      <c r="I449" s="214">
        <v>77840</v>
      </c>
      <c r="J449" s="213">
        <v>2</v>
      </c>
    </row>
    <row r="450" spans="1:10" x14ac:dyDescent="0.25">
      <c r="A450" s="216" t="s">
        <v>419</v>
      </c>
      <c r="B450" s="122" t="s">
        <v>271</v>
      </c>
      <c r="C450" s="122" t="s">
        <v>705</v>
      </c>
      <c r="D450" s="122" t="s">
        <v>261</v>
      </c>
      <c r="E450" s="215">
        <v>33502</v>
      </c>
      <c r="F450" s="122" t="str">
        <f t="shared" si="36"/>
        <v>September</v>
      </c>
      <c r="G450" s="122">
        <f t="shared" ca="1" si="37"/>
        <v>25</v>
      </c>
      <c r="H450" s="122" t="s">
        <v>262</v>
      </c>
      <c r="I450" s="214">
        <v>35045</v>
      </c>
      <c r="J450" s="213">
        <v>4</v>
      </c>
    </row>
    <row r="451" spans="1:10" x14ac:dyDescent="0.25">
      <c r="A451" s="216" t="s">
        <v>260</v>
      </c>
      <c r="B451" s="122" t="s">
        <v>285</v>
      </c>
      <c r="C451" s="122" t="s">
        <v>705</v>
      </c>
      <c r="D451" s="122" t="s">
        <v>256</v>
      </c>
      <c r="E451" s="215">
        <v>38916</v>
      </c>
      <c r="F451" s="122" t="str">
        <f t="shared" si="36"/>
        <v>July</v>
      </c>
      <c r="G451" s="122">
        <f t="shared" ca="1" si="37"/>
        <v>10</v>
      </c>
      <c r="H451" s="122" t="s">
        <v>262</v>
      </c>
      <c r="I451" s="214">
        <v>27560</v>
      </c>
      <c r="J451" s="213">
        <v>2</v>
      </c>
    </row>
    <row r="452" spans="1:10" x14ac:dyDescent="0.25">
      <c r="A452" s="216" t="s">
        <v>398</v>
      </c>
      <c r="B452" s="122" t="s">
        <v>245</v>
      </c>
      <c r="C452" s="122" t="s">
        <v>705</v>
      </c>
      <c r="D452" s="122" t="s">
        <v>252</v>
      </c>
      <c r="E452" s="215">
        <v>40403</v>
      </c>
      <c r="F452" s="122" t="str">
        <f t="shared" si="36"/>
        <v>August</v>
      </c>
      <c r="G452" s="122">
        <f t="shared" ca="1" si="37"/>
        <v>6</v>
      </c>
      <c r="I452" s="214">
        <v>15056</v>
      </c>
      <c r="J452" s="213">
        <v>5</v>
      </c>
    </row>
    <row r="453" spans="1:10" x14ac:dyDescent="0.25">
      <c r="A453" s="216" t="s">
        <v>950</v>
      </c>
      <c r="B453" s="122" t="s">
        <v>245</v>
      </c>
      <c r="C453" s="122" t="s">
        <v>705</v>
      </c>
      <c r="D453" s="122" t="s">
        <v>256</v>
      </c>
      <c r="E453" s="215">
        <v>33620</v>
      </c>
      <c r="F453" s="122" t="str">
        <f t="shared" si="36"/>
        <v>January</v>
      </c>
      <c r="G453" s="122">
        <f t="shared" ca="1" si="37"/>
        <v>24</v>
      </c>
      <c r="H453" s="122" t="s">
        <v>283</v>
      </c>
      <c r="I453" s="214">
        <v>43190</v>
      </c>
      <c r="J453" s="213">
        <v>2</v>
      </c>
    </row>
    <row r="454" spans="1:10" x14ac:dyDescent="0.25">
      <c r="A454" s="216" t="s">
        <v>892</v>
      </c>
      <c r="B454" s="122" t="s">
        <v>285</v>
      </c>
      <c r="C454" s="122" t="s">
        <v>705</v>
      </c>
      <c r="D454" s="122" t="s">
        <v>256</v>
      </c>
      <c r="E454" s="215">
        <v>33878</v>
      </c>
      <c r="F454" s="122" t="str">
        <f t="shared" si="36"/>
        <v>October</v>
      </c>
      <c r="G454" s="122">
        <f t="shared" ca="1" si="37"/>
        <v>24</v>
      </c>
      <c r="H454" s="122" t="s">
        <v>276</v>
      </c>
      <c r="I454" s="214">
        <v>75370</v>
      </c>
      <c r="J454" s="213">
        <v>2</v>
      </c>
    </row>
    <row r="455" spans="1:10" x14ac:dyDescent="0.25">
      <c r="A455" s="216" t="s">
        <v>384</v>
      </c>
      <c r="B455" s="122" t="s">
        <v>271</v>
      </c>
      <c r="C455" s="122" t="s">
        <v>705</v>
      </c>
      <c r="D455" s="122" t="s">
        <v>256</v>
      </c>
      <c r="E455" s="215">
        <v>35969</v>
      </c>
      <c r="F455" s="122" t="str">
        <f t="shared" si="36"/>
        <v>June</v>
      </c>
      <c r="G455" s="122">
        <f t="shared" ca="1" si="37"/>
        <v>18</v>
      </c>
      <c r="H455" s="122" t="s">
        <v>257</v>
      </c>
      <c r="I455" s="214">
        <v>74530</v>
      </c>
      <c r="J455" s="213">
        <v>5</v>
      </c>
    </row>
    <row r="456" spans="1:10" x14ac:dyDescent="0.25">
      <c r="A456" s="216" t="s">
        <v>1001</v>
      </c>
      <c r="B456" s="122" t="s">
        <v>251</v>
      </c>
      <c r="C456" s="122" t="s">
        <v>705</v>
      </c>
      <c r="D456" s="122" t="s">
        <v>261</v>
      </c>
      <c r="E456" s="215">
        <v>34617</v>
      </c>
      <c r="F456" s="122" t="str">
        <f t="shared" si="36"/>
        <v>October</v>
      </c>
      <c r="G456" s="122">
        <f t="shared" ca="1" si="37"/>
        <v>22</v>
      </c>
      <c r="H456" s="122" t="s">
        <v>257</v>
      </c>
      <c r="I456" s="214">
        <v>13435</v>
      </c>
      <c r="J456" s="213">
        <v>1</v>
      </c>
    </row>
    <row r="457" spans="1:10" x14ac:dyDescent="0.25">
      <c r="A457" s="216" t="s">
        <v>453</v>
      </c>
      <c r="B457" s="122" t="s">
        <v>271</v>
      </c>
      <c r="C457" s="122" t="s">
        <v>705</v>
      </c>
      <c r="D457" s="122" t="s">
        <v>256</v>
      </c>
      <c r="E457" s="215">
        <v>34111</v>
      </c>
      <c r="F457" s="122" t="str">
        <f t="shared" si="36"/>
        <v>May</v>
      </c>
      <c r="G457" s="122">
        <f t="shared" ca="1" si="37"/>
        <v>23</v>
      </c>
      <c r="H457" s="122" t="s">
        <v>283</v>
      </c>
      <c r="I457" s="214">
        <v>73030</v>
      </c>
      <c r="J457" s="213">
        <v>5</v>
      </c>
    </row>
    <row r="458" spans="1:10" x14ac:dyDescent="0.25">
      <c r="A458" s="216" t="s">
        <v>791</v>
      </c>
      <c r="B458" s="122" t="s">
        <v>245</v>
      </c>
      <c r="C458" s="122" t="s">
        <v>705</v>
      </c>
      <c r="D458" s="122" t="s">
        <v>256</v>
      </c>
      <c r="E458" s="215">
        <v>33636</v>
      </c>
      <c r="F458" s="122" t="str">
        <f t="shared" si="36"/>
        <v>February</v>
      </c>
      <c r="G458" s="122">
        <f t="shared" ca="1" si="37"/>
        <v>24</v>
      </c>
      <c r="H458" s="122" t="s">
        <v>257</v>
      </c>
      <c r="I458" s="214">
        <v>26360</v>
      </c>
      <c r="J458" s="213">
        <v>1</v>
      </c>
    </row>
    <row r="459" spans="1:10" x14ac:dyDescent="0.25">
      <c r="A459" s="216" t="s">
        <v>736</v>
      </c>
      <c r="B459" s="122" t="s">
        <v>285</v>
      </c>
      <c r="C459" s="122" t="s">
        <v>705</v>
      </c>
      <c r="D459" s="122" t="s">
        <v>256</v>
      </c>
      <c r="E459" s="215">
        <v>38807</v>
      </c>
      <c r="F459" s="122" t="str">
        <f t="shared" si="36"/>
        <v>March</v>
      </c>
      <c r="G459" s="122">
        <f t="shared" ca="1" si="37"/>
        <v>10</v>
      </c>
      <c r="H459" s="122" t="s">
        <v>257</v>
      </c>
      <c r="I459" s="214">
        <v>47060</v>
      </c>
      <c r="J459" s="213">
        <v>4</v>
      </c>
    </row>
    <row r="460" spans="1:10" x14ac:dyDescent="0.25">
      <c r="A460" s="216" t="s">
        <v>998</v>
      </c>
      <c r="B460" s="122" t="s">
        <v>285</v>
      </c>
      <c r="C460" s="122" t="s">
        <v>705</v>
      </c>
      <c r="D460" s="122" t="s">
        <v>256</v>
      </c>
      <c r="E460" s="215">
        <v>39404</v>
      </c>
      <c r="F460" s="122" t="str">
        <f t="shared" si="36"/>
        <v>November</v>
      </c>
      <c r="G460" s="122">
        <f t="shared" ca="1" si="37"/>
        <v>8</v>
      </c>
      <c r="H460" s="122" t="s">
        <v>267</v>
      </c>
      <c r="I460" s="214">
        <v>50990</v>
      </c>
      <c r="J460" s="213">
        <v>4</v>
      </c>
    </row>
    <row r="461" spans="1:10" x14ac:dyDescent="0.25">
      <c r="A461" s="216" t="s">
        <v>606</v>
      </c>
      <c r="B461" s="122" t="s">
        <v>285</v>
      </c>
      <c r="C461" s="122" t="s">
        <v>705</v>
      </c>
      <c r="D461" s="122" t="s">
        <v>247</v>
      </c>
      <c r="E461" s="215">
        <v>33811</v>
      </c>
      <c r="F461" s="122" t="str">
        <f t="shared" si="36"/>
        <v>July</v>
      </c>
      <c r="G461" s="122">
        <f t="shared" ca="1" si="37"/>
        <v>24</v>
      </c>
      <c r="I461" s="214">
        <v>32650</v>
      </c>
      <c r="J461" s="213">
        <v>1</v>
      </c>
    </row>
    <row r="462" spans="1:10" x14ac:dyDescent="0.25">
      <c r="A462" s="216" t="s">
        <v>476</v>
      </c>
      <c r="B462" s="122" t="s">
        <v>271</v>
      </c>
      <c r="C462" s="122" t="s">
        <v>705</v>
      </c>
      <c r="D462" s="122" t="s">
        <v>247</v>
      </c>
      <c r="E462" s="215">
        <v>36623</v>
      </c>
      <c r="F462" s="122" t="str">
        <f t="shared" si="36"/>
        <v>April</v>
      </c>
      <c r="G462" s="122">
        <f t="shared" ca="1" si="37"/>
        <v>16</v>
      </c>
      <c r="I462" s="214">
        <v>30300</v>
      </c>
      <c r="J462" s="213">
        <v>1</v>
      </c>
    </row>
    <row r="463" spans="1:10" x14ac:dyDescent="0.25">
      <c r="A463" s="216" t="s">
        <v>1004</v>
      </c>
      <c r="B463" s="122" t="s">
        <v>285</v>
      </c>
      <c r="C463" s="122" t="s">
        <v>705</v>
      </c>
      <c r="D463" s="122" t="s">
        <v>256</v>
      </c>
      <c r="E463" s="215">
        <v>35903</v>
      </c>
      <c r="F463" s="122" t="str">
        <f t="shared" si="36"/>
        <v>April</v>
      </c>
      <c r="G463" s="122">
        <f t="shared" ca="1" si="37"/>
        <v>18</v>
      </c>
      <c r="H463" s="122" t="s">
        <v>257</v>
      </c>
      <c r="I463" s="214">
        <v>68520</v>
      </c>
      <c r="J463" s="213">
        <v>5</v>
      </c>
    </row>
    <row r="464" spans="1:10" x14ac:dyDescent="0.25">
      <c r="A464" s="216" t="s">
        <v>830</v>
      </c>
      <c r="B464" s="122" t="s">
        <v>285</v>
      </c>
      <c r="C464" s="122" t="s">
        <v>705</v>
      </c>
      <c r="D464" s="122" t="s">
        <v>256</v>
      </c>
      <c r="E464" s="215">
        <v>33928</v>
      </c>
      <c r="F464" s="122" t="str">
        <f t="shared" si="36"/>
        <v>November</v>
      </c>
      <c r="G464" s="122">
        <f t="shared" ca="1" si="37"/>
        <v>23</v>
      </c>
      <c r="H464" s="122" t="s">
        <v>262</v>
      </c>
      <c r="I464" s="214">
        <v>68010</v>
      </c>
      <c r="J464" s="213">
        <v>1</v>
      </c>
    </row>
    <row r="465" spans="1:10" x14ac:dyDescent="0.25">
      <c r="A465" s="216" t="s">
        <v>684</v>
      </c>
      <c r="B465" s="122" t="s">
        <v>285</v>
      </c>
      <c r="C465" s="122" t="s">
        <v>705</v>
      </c>
      <c r="D465" s="122" t="s">
        <v>256</v>
      </c>
      <c r="E465" s="215">
        <v>35379</v>
      </c>
      <c r="F465" s="122" t="str">
        <f t="shared" si="36"/>
        <v>November</v>
      </c>
      <c r="G465" s="122">
        <f t="shared" ca="1" si="37"/>
        <v>20</v>
      </c>
      <c r="H465" s="122" t="s">
        <v>276</v>
      </c>
      <c r="I465" s="214">
        <v>67230</v>
      </c>
      <c r="J465" s="213">
        <v>4</v>
      </c>
    </row>
    <row r="466" spans="1:10" x14ac:dyDescent="0.25">
      <c r="A466" s="216" t="s">
        <v>331</v>
      </c>
      <c r="B466" s="122" t="s">
        <v>251</v>
      </c>
      <c r="C466" s="122" t="s">
        <v>705</v>
      </c>
      <c r="D466" s="122" t="s">
        <v>256</v>
      </c>
      <c r="E466" s="215">
        <v>40370</v>
      </c>
      <c r="F466" s="122" t="str">
        <f t="shared" si="36"/>
        <v>July</v>
      </c>
      <c r="G466" s="122">
        <f t="shared" ca="1" si="37"/>
        <v>6</v>
      </c>
      <c r="H466" s="122" t="s">
        <v>257</v>
      </c>
      <c r="I466" s="214">
        <v>66840</v>
      </c>
      <c r="J466" s="213">
        <v>4</v>
      </c>
    </row>
    <row r="467" spans="1:10" x14ac:dyDescent="0.25">
      <c r="A467" s="216" t="s">
        <v>486</v>
      </c>
      <c r="B467" s="122" t="s">
        <v>251</v>
      </c>
      <c r="C467" s="122" t="s">
        <v>705</v>
      </c>
      <c r="D467" s="122" t="s">
        <v>247</v>
      </c>
      <c r="E467" s="215">
        <v>34502</v>
      </c>
      <c r="F467" s="122" t="str">
        <f t="shared" si="36"/>
        <v>June</v>
      </c>
      <c r="G467" s="122">
        <f t="shared" ca="1" si="37"/>
        <v>22</v>
      </c>
      <c r="I467" s="214">
        <v>66710</v>
      </c>
      <c r="J467" s="213">
        <v>2</v>
      </c>
    </row>
    <row r="468" spans="1:10" x14ac:dyDescent="0.25">
      <c r="A468" s="216" t="s">
        <v>914</v>
      </c>
      <c r="B468" s="122" t="s">
        <v>245</v>
      </c>
      <c r="C468" s="122" t="s">
        <v>705</v>
      </c>
      <c r="D468" s="122" t="s">
        <v>256</v>
      </c>
      <c r="E468" s="215">
        <v>35339</v>
      </c>
      <c r="F468" s="122" t="str">
        <f t="shared" si="36"/>
        <v>October</v>
      </c>
      <c r="G468" s="122">
        <f t="shared" ca="1" si="37"/>
        <v>20</v>
      </c>
      <c r="H468" s="122" t="s">
        <v>283</v>
      </c>
      <c r="I468" s="214">
        <v>43410</v>
      </c>
      <c r="J468" s="213">
        <v>1</v>
      </c>
    </row>
    <row r="469" spans="1:10" x14ac:dyDescent="0.25">
      <c r="A469" s="216" t="s">
        <v>846</v>
      </c>
      <c r="B469" s="122" t="s">
        <v>266</v>
      </c>
      <c r="C469" s="122" t="s">
        <v>705</v>
      </c>
      <c r="D469" s="122" t="s">
        <v>261</v>
      </c>
      <c r="E469" s="215">
        <v>40393</v>
      </c>
      <c r="F469" s="122" t="str">
        <f t="shared" si="36"/>
        <v>August</v>
      </c>
      <c r="G469" s="122">
        <f t="shared" ca="1" si="37"/>
        <v>6</v>
      </c>
      <c r="H469" s="122" t="s">
        <v>257</v>
      </c>
      <c r="I469" s="214">
        <v>16925</v>
      </c>
      <c r="J469" s="213">
        <v>1</v>
      </c>
    </row>
    <row r="470" spans="1:10" x14ac:dyDescent="0.25">
      <c r="A470" s="216" t="s">
        <v>529</v>
      </c>
      <c r="B470" s="122" t="s">
        <v>280</v>
      </c>
      <c r="C470" s="122" t="s">
        <v>705</v>
      </c>
      <c r="D470" s="122" t="s">
        <v>247</v>
      </c>
      <c r="E470" s="215">
        <v>35921</v>
      </c>
      <c r="F470" s="122" t="str">
        <f t="shared" si="36"/>
        <v>May</v>
      </c>
      <c r="G470" s="122">
        <f t="shared" ca="1" si="37"/>
        <v>18</v>
      </c>
      <c r="I470" s="214">
        <v>63330</v>
      </c>
      <c r="J470" s="213">
        <v>4</v>
      </c>
    </row>
    <row r="471" spans="1:10" x14ac:dyDescent="0.25">
      <c r="A471" s="216" t="s">
        <v>513</v>
      </c>
      <c r="B471" s="122" t="s">
        <v>280</v>
      </c>
      <c r="C471" s="122" t="s">
        <v>705</v>
      </c>
      <c r="D471" s="122" t="s">
        <v>256</v>
      </c>
      <c r="E471" s="215">
        <v>35133</v>
      </c>
      <c r="F471" s="122" t="str">
        <f t="shared" si="36"/>
        <v>March</v>
      </c>
      <c r="G471" s="122">
        <f t="shared" ca="1" si="37"/>
        <v>20</v>
      </c>
      <c r="H471" s="122" t="s">
        <v>283</v>
      </c>
      <c r="I471" s="214">
        <v>63080</v>
      </c>
      <c r="J471" s="213">
        <v>5</v>
      </c>
    </row>
    <row r="472" spans="1:10" x14ac:dyDescent="0.25">
      <c r="A472" s="216" t="s">
        <v>380</v>
      </c>
      <c r="B472" s="122" t="s">
        <v>285</v>
      </c>
      <c r="C472" s="122" t="s">
        <v>705</v>
      </c>
      <c r="D472" s="122" t="s">
        <v>256</v>
      </c>
      <c r="E472" s="215">
        <v>33457</v>
      </c>
      <c r="F472" s="122" t="str">
        <f t="shared" si="36"/>
        <v>August</v>
      </c>
      <c r="G472" s="122">
        <f t="shared" ca="1" si="37"/>
        <v>25</v>
      </c>
      <c r="H472" s="122" t="s">
        <v>267</v>
      </c>
      <c r="I472" s="214">
        <v>61470</v>
      </c>
      <c r="J472" s="213">
        <v>5</v>
      </c>
    </row>
    <row r="473" spans="1:10" x14ac:dyDescent="0.25">
      <c r="A473" s="216" t="s">
        <v>706</v>
      </c>
      <c r="B473" s="122" t="s">
        <v>271</v>
      </c>
      <c r="C473" s="122" t="s">
        <v>705</v>
      </c>
      <c r="D473" s="122" t="s">
        <v>256</v>
      </c>
      <c r="E473" s="215">
        <v>34901</v>
      </c>
      <c r="F473" s="122" t="str">
        <f t="shared" si="36"/>
        <v>July</v>
      </c>
      <c r="G473" s="122">
        <f t="shared" ca="1" si="37"/>
        <v>21</v>
      </c>
      <c r="H473" s="122" t="s">
        <v>257</v>
      </c>
      <c r="I473" s="214">
        <v>25830</v>
      </c>
      <c r="J473" s="213">
        <v>5</v>
      </c>
    </row>
    <row r="474" spans="1:10" x14ac:dyDescent="0.25">
      <c r="A474" s="216" t="s">
        <v>806</v>
      </c>
      <c r="B474" s="122" t="s">
        <v>285</v>
      </c>
      <c r="C474" s="122" t="s">
        <v>705</v>
      </c>
      <c r="D474" s="122" t="s">
        <v>261</v>
      </c>
      <c r="E474" s="215">
        <v>36695</v>
      </c>
      <c r="F474" s="122" t="str">
        <f t="shared" si="36"/>
        <v>June</v>
      </c>
      <c r="G474" s="122">
        <f t="shared" ca="1" si="37"/>
        <v>16</v>
      </c>
      <c r="H474" s="122" t="s">
        <v>283</v>
      </c>
      <c r="I474" s="214">
        <v>29005</v>
      </c>
      <c r="J474" s="213">
        <v>1</v>
      </c>
    </row>
    <row r="475" spans="1:10" x14ac:dyDescent="0.25">
      <c r="A475" s="216" t="s">
        <v>627</v>
      </c>
      <c r="B475" s="122" t="s">
        <v>285</v>
      </c>
      <c r="C475" s="122" t="s">
        <v>705</v>
      </c>
      <c r="D475" s="122" t="s">
        <v>252</v>
      </c>
      <c r="E475" s="215">
        <v>38144</v>
      </c>
      <c r="F475" s="122" t="str">
        <f t="shared" si="36"/>
        <v>June</v>
      </c>
      <c r="G475" s="122">
        <f t="shared" ca="1" si="37"/>
        <v>12</v>
      </c>
      <c r="I475" s="214">
        <v>33512</v>
      </c>
      <c r="J475" s="213">
        <v>4</v>
      </c>
    </row>
    <row r="476" spans="1:10" x14ac:dyDescent="0.25">
      <c r="A476" s="216" t="s">
        <v>425</v>
      </c>
      <c r="B476" s="122" t="s">
        <v>271</v>
      </c>
      <c r="C476" s="122" t="s">
        <v>705</v>
      </c>
      <c r="D476" s="122" t="s">
        <v>256</v>
      </c>
      <c r="E476" s="215">
        <v>33578</v>
      </c>
      <c r="F476" s="122" t="str">
        <f t="shared" si="36"/>
        <v>December</v>
      </c>
      <c r="G476" s="122">
        <f t="shared" ca="1" si="37"/>
        <v>24</v>
      </c>
      <c r="H476" s="122" t="s">
        <v>257</v>
      </c>
      <c r="I476" s="214">
        <v>43580</v>
      </c>
      <c r="J476" s="213">
        <v>5</v>
      </c>
    </row>
    <row r="477" spans="1:10" x14ac:dyDescent="0.25">
      <c r="A477" s="216" t="s">
        <v>475</v>
      </c>
      <c r="B477" s="122" t="s">
        <v>251</v>
      </c>
      <c r="C477" s="122" t="s">
        <v>705</v>
      </c>
      <c r="D477" s="122" t="s">
        <v>247</v>
      </c>
      <c r="E477" s="215">
        <v>40468</v>
      </c>
      <c r="F477" s="122" t="str">
        <f t="shared" si="36"/>
        <v>October</v>
      </c>
      <c r="G477" s="122">
        <f t="shared" ca="1" si="37"/>
        <v>6</v>
      </c>
      <c r="I477" s="214">
        <v>39440</v>
      </c>
      <c r="J477" s="213">
        <v>4</v>
      </c>
    </row>
    <row r="478" spans="1:10" x14ac:dyDescent="0.25">
      <c r="A478" s="216" t="s">
        <v>973</v>
      </c>
      <c r="B478" s="122" t="s">
        <v>280</v>
      </c>
      <c r="C478" s="122" t="s">
        <v>705</v>
      </c>
      <c r="D478" s="122" t="s">
        <v>247</v>
      </c>
      <c r="E478" s="215">
        <v>39783</v>
      </c>
      <c r="F478" s="122" t="str">
        <f t="shared" si="36"/>
        <v>December</v>
      </c>
      <c r="G478" s="122">
        <f t="shared" ca="1" si="37"/>
        <v>7</v>
      </c>
      <c r="I478" s="214">
        <v>54000</v>
      </c>
      <c r="J478" s="213">
        <v>3</v>
      </c>
    </row>
    <row r="479" spans="1:10" x14ac:dyDescent="0.25">
      <c r="A479" s="217" t="s">
        <v>750</v>
      </c>
    </row>
    <row r="480" spans="1:10" x14ac:dyDescent="0.25">
      <c r="A480" s="216" t="s">
        <v>433</v>
      </c>
      <c r="B480" s="122" t="s">
        <v>285</v>
      </c>
      <c r="C480" s="122" t="s">
        <v>750</v>
      </c>
      <c r="D480" s="122" t="s">
        <v>256</v>
      </c>
      <c r="E480" s="215">
        <v>33280</v>
      </c>
      <c r="F480" s="122" t="str">
        <f t="shared" ref="F480:F495" si="38">CHOOSE(MONTH(E480),"January","February","March","April","May","June","July","August","September","October","November","December")</f>
        <v>February</v>
      </c>
      <c r="G480" s="122">
        <f t="shared" ref="G480:G495" ca="1" si="39">DATEDIF(E480,TODAY(),"Y")</f>
        <v>25</v>
      </c>
      <c r="H480" s="122" t="s">
        <v>257</v>
      </c>
      <c r="I480" s="214">
        <v>87950</v>
      </c>
      <c r="J480" s="213">
        <v>4</v>
      </c>
    </row>
    <row r="481" spans="1:10" x14ac:dyDescent="0.25">
      <c r="A481" s="216" t="s">
        <v>376</v>
      </c>
      <c r="B481" s="122" t="s">
        <v>245</v>
      </c>
      <c r="C481" s="122" t="s">
        <v>750</v>
      </c>
      <c r="D481" s="122" t="s">
        <v>256</v>
      </c>
      <c r="E481" s="215">
        <v>33588</v>
      </c>
      <c r="F481" s="122" t="str">
        <f t="shared" si="38"/>
        <v>December</v>
      </c>
      <c r="G481" s="122">
        <f t="shared" ca="1" si="39"/>
        <v>24</v>
      </c>
      <c r="H481" s="122" t="s">
        <v>283</v>
      </c>
      <c r="I481" s="214">
        <v>44620</v>
      </c>
      <c r="J481" s="213">
        <v>5</v>
      </c>
    </row>
    <row r="482" spans="1:10" x14ac:dyDescent="0.25">
      <c r="A482" s="216" t="s">
        <v>416</v>
      </c>
      <c r="B482" s="122" t="s">
        <v>271</v>
      </c>
      <c r="C482" s="122" t="s">
        <v>750</v>
      </c>
      <c r="D482" s="122" t="s">
        <v>256</v>
      </c>
      <c r="E482" s="215">
        <v>33536</v>
      </c>
      <c r="F482" s="122" t="str">
        <f t="shared" si="38"/>
        <v>October</v>
      </c>
      <c r="G482" s="122">
        <f t="shared" ca="1" si="39"/>
        <v>25</v>
      </c>
      <c r="H482" s="122" t="s">
        <v>257</v>
      </c>
      <c r="I482" s="214">
        <v>81530</v>
      </c>
      <c r="J482" s="213">
        <v>5</v>
      </c>
    </row>
    <row r="483" spans="1:10" x14ac:dyDescent="0.25">
      <c r="A483" s="216" t="s">
        <v>956</v>
      </c>
      <c r="B483" s="122" t="s">
        <v>285</v>
      </c>
      <c r="C483" s="122" t="s">
        <v>750</v>
      </c>
      <c r="D483" s="122" t="s">
        <v>261</v>
      </c>
      <c r="E483" s="215">
        <v>33112</v>
      </c>
      <c r="F483" s="122" t="str">
        <f t="shared" si="38"/>
        <v>August</v>
      </c>
      <c r="G483" s="122">
        <f t="shared" ca="1" si="39"/>
        <v>26</v>
      </c>
      <c r="H483" s="122" t="s">
        <v>267</v>
      </c>
      <c r="I483" s="214">
        <v>24815</v>
      </c>
      <c r="J483" s="213">
        <v>1</v>
      </c>
    </row>
    <row r="484" spans="1:10" x14ac:dyDescent="0.25">
      <c r="A484" s="216" t="s">
        <v>937</v>
      </c>
      <c r="B484" s="122" t="s">
        <v>271</v>
      </c>
      <c r="C484" s="122" t="s">
        <v>750</v>
      </c>
      <c r="D484" s="122" t="s">
        <v>256</v>
      </c>
      <c r="E484" s="215">
        <v>33460</v>
      </c>
      <c r="F484" s="122" t="str">
        <f t="shared" si="38"/>
        <v>August</v>
      </c>
      <c r="G484" s="122">
        <f t="shared" ca="1" si="39"/>
        <v>25</v>
      </c>
      <c r="H484" s="122" t="s">
        <v>283</v>
      </c>
      <c r="I484" s="214">
        <v>77720</v>
      </c>
      <c r="J484" s="213">
        <v>3</v>
      </c>
    </row>
    <row r="485" spans="1:10" x14ac:dyDescent="0.25">
      <c r="A485" s="216" t="s">
        <v>432</v>
      </c>
      <c r="B485" s="122" t="s">
        <v>245</v>
      </c>
      <c r="C485" s="122" t="s">
        <v>750</v>
      </c>
      <c r="D485" s="122" t="s">
        <v>261</v>
      </c>
      <c r="E485" s="215">
        <v>33160</v>
      </c>
      <c r="F485" s="122" t="str">
        <f t="shared" si="38"/>
        <v>October</v>
      </c>
      <c r="G485" s="122">
        <f t="shared" ca="1" si="39"/>
        <v>26</v>
      </c>
      <c r="H485" s="122" t="s">
        <v>262</v>
      </c>
      <c r="I485" s="214">
        <v>39620</v>
      </c>
      <c r="J485" s="213">
        <v>5</v>
      </c>
    </row>
    <row r="486" spans="1:10" x14ac:dyDescent="0.25">
      <c r="A486" s="216" t="s">
        <v>733</v>
      </c>
      <c r="B486" s="122" t="s">
        <v>285</v>
      </c>
      <c r="C486" s="122" t="s">
        <v>750</v>
      </c>
      <c r="D486" s="122" t="s">
        <v>261</v>
      </c>
      <c r="E486" s="215">
        <v>33349</v>
      </c>
      <c r="F486" s="122" t="str">
        <f t="shared" si="38"/>
        <v>April</v>
      </c>
      <c r="G486" s="122">
        <f t="shared" ca="1" si="39"/>
        <v>25</v>
      </c>
      <c r="H486" s="122" t="s">
        <v>276</v>
      </c>
      <c r="I486" s="214">
        <v>16015</v>
      </c>
      <c r="J486" s="213">
        <v>3</v>
      </c>
    </row>
    <row r="487" spans="1:10" x14ac:dyDescent="0.25">
      <c r="A487" s="216" t="s">
        <v>765</v>
      </c>
      <c r="B487" s="122" t="s">
        <v>285</v>
      </c>
      <c r="C487" s="122" t="s">
        <v>750</v>
      </c>
      <c r="D487" s="122" t="s">
        <v>256</v>
      </c>
      <c r="E487" s="215">
        <v>33246</v>
      </c>
      <c r="F487" s="122" t="str">
        <f t="shared" si="38"/>
        <v>January</v>
      </c>
      <c r="G487" s="122">
        <f t="shared" ca="1" si="39"/>
        <v>25</v>
      </c>
      <c r="H487" s="122" t="s">
        <v>257</v>
      </c>
      <c r="I487" s="214">
        <v>71730</v>
      </c>
      <c r="J487" s="213">
        <v>1</v>
      </c>
    </row>
    <row r="488" spans="1:10" x14ac:dyDescent="0.25">
      <c r="A488" s="216" t="s">
        <v>317</v>
      </c>
      <c r="B488" s="122" t="s">
        <v>271</v>
      </c>
      <c r="C488" s="122" t="s">
        <v>750</v>
      </c>
      <c r="D488" s="122" t="s">
        <v>256</v>
      </c>
      <c r="E488" s="215">
        <v>33440</v>
      </c>
      <c r="F488" s="122" t="str">
        <f t="shared" si="38"/>
        <v>July</v>
      </c>
      <c r="G488" s="122">
        <f t="shared" ca="1" si="39"/>
        <v>25</v>
      </c>
      <c r="H488" s="122" t="s">
        <v>257</v>
      </c>
      <c r="I488" s="214">
        <v>69400</v>
      </c>
      <c r="J488" s="213">
        <v>5</v>
      </c>
    </row>
    <row r="489" spans="1:10" x14ac:dyDescent="0.25">
      <c r="A489" s="216" t="s">
        <v>855</v>
      </c>
      <c r="B489" s="122" t="s">
        <v>266</v>
      </c>
      <c r="C489" s="122" t="s">
        <v>750</v>
      </c>
      <c r="D489" s="122" t="s">
        <v>256</v>
      </c>
      <c r="E489" s="215">
        <v>33513</v>
      </c>
      <c r="F489" s="122" t="str">
        <f t="shared" si="38"/>
        <v>October</v>
      </c>
      <c r="G489" s="122">
        <f t="shared" ca="1" si="39"/>
        <v>25</v>
      </c>
      <c r="H489" s="122" t="s">
        <v>267</v>
      </c>
      <c r="I489" s="214">
        <v>44560</v>
      </c>
      <c r="J489" s="213">
        <v>2</v>
      </c>
    </row>
    <row r="490" spans="1:10" x14ac:dyDescent="0.25">
      <c r="A490" s="216" t="s">
        <v>580</v>
      </c>
      <c r="B490" s="122" t="s">
        <v>271</v>
      </c>
      <c r="C490" s="122" t="s">
        <v>750</v>
      </c>
      <c r="D490" s="122" t="s">
        <v>256</v>
      </c>
      <c r="E490" s="215">
        <v>33320</v>
      </c>
      <c r="F490" s="122" t="str">
        <f t="shared" si="38"/>
        <v>March</v>
      </c>
      <c r="G490" s="122">
        <f t="shared" ca="1" si="39"/>
        <v>25</v>
      </c>
      <c r="H490" s="122" t="s">
        <v>276</v>
      </c>
      <c r="I490" s="214">
        <v>35320</v>
      </c>
      <c r="J490" s="213">
        <v>3</v>
      </c>
    </row>
    <row r="491" spans="1:10" x14ac:dyDescent="0.25">
      <c r="A491" s="216" t="s">
        <v>690</v>
      </c>
      <c r="B491" s="122" t="s">
        <v>285</v>
      </c>
      <c r="C491" s="122" t="s">
        <v>750</v>
      </c>
      <c r="D491" s="122" t="s">
        <v>256</v>
      </c>
      <c r="E491" s="215">
        <v>33186</v>
      </c>
      <c r="F491" s="122" t="str">
        <f t="shared" si="38"/>
        <v>November</v>
      </c>
      <c r="G491" s="122">
        <f t="shared" ca="1" si="39"/>
        <v>26</v>
      </c>
      <c r="H491" s="122" t="s">
        <v>257</v>
      </c>
      <c r="I491" s="214">
        <v>40940</v>
      </c>
      <c r="J491" s="213">
        <v>3</v>
      </c>
    </row>
    <row r="492" spans="1:10" x14ac:dyDescent="0.25">
      <c r="A492" s="216" t="s">
        <v>415</v>
      </c>
      <c r="B492" s="122" t="s">
        <v>285</v>
      </c>
      <c r="C492" s="122" t="s">
        <v>750</v>
      </c>
      <c r="D492" s="122" t="s">
        <v>252</v>
      </c>
      <c r="E492" s="215">
        <v>33158</v>
      </c>
      <c r="F492" s="122" t="str">
        <f t="shared" si="38"/>
        <v>October</v>
      </c>
      <c r="G492" s="122">
        <f t="shared" ca="1" si="39"/>
        <v>26</v>
      </c>
      <c r="I492" s="214">
        <v>33232</v>
      </c>
      <c r="J492" s="213">
        <v>4</v>
      </c>
    </row>
    <row r="493" spans="1:10" x14ac:dyDescent="0.25">
      <c r="A493" s="216" t="s">
        <v>667</v>
      </c>
      <c r="B493" s="122" t="s">
        <v>266</v>
      </c>
      <c r="C493" s="122" t="s">
        <v>750</v>
      </c>
      <c r="D493" s="122" t="s">
        <v>256</v>
      </c>
      <c r="E493" s="215">
        <v>33179</v>
      </c>
      <c r="F493" s="122" t="str">
        <f t="shared" si="38"/>
        <v>November</v>
      </c>
      <c r="G493" s="122">
        <f t="shared" ca="1" si="39"/>
        <v>26</v>
      </c>
      <c r="H493" s="122" t="s">
        <v>283</v>
      </c>
      <c r="I493" s="214">
        <v>43110</v>
      </c>
      <c r="J493" s="213">
        <v>2</v>
      </c>
    </row>
    <row r="494" spans="1:10" x14ac:dyDescent="0.25">
      <c r="A494" s="216" t="s">
        <v>631</v>
      </c>
      <c r="B494" s="122" t="s">
        <v>251</v>
      </c>
      <c r="C494" s="122" t="s">
        <v>750</v>
      </c>
      <c r="D494" s="122" t="s">
        <v>247</v>
      </c>
      <c r="E494" s="215">
        <v>33286</v>
      </c>
      <c r="F494" s="122" t="str">
        <f t="shared" si="38"/>
        <v>February</v>
      </c>
      <c r="G494" s="122">
        <f t="shared" ca="1" si="39"/>
        <v>25</v>
      </c>
      <c r="I494" s="214">
        <v>49070</v>
      </c>
      <c r="J494" s="213">
        <v>3</v>
      </c>
    </row>
    <row r="495" spans="1:10" x14ac:dyDescent="0.25">
      <c r="A495" s="216" t="s">
        <v>957</v>
      </c>
      <c r="B495" s="122" t="s">
        <v>271</v>
      </c>
      <c r="C495" s="122" t="s">
        <v>750</v>
      </c>
      <c r="D495" s="122" t="s">
        <v>256</v>
      </c>
      <c r="E495" s="215">
        <v>33113</v>
      </c>
      <c r="F495" s="122" t="str">
        <f t="shared" si="38"/>
        <v>August</v>
      </c>
      <c r="G495" s="122">
        <f t="shared" ca="1" si="39"/>
        <v>26</v>
      </c>
      <c r="H495" s="122" t="s">
        <v>257</v>
      </c>
      <c r="I495" s="214">
        <v>32600</v>
      </c>
      <c r="J495" s="213">
        <v>5</v>
      </c>
    </row>
    <row r="496" spans="1:10" x14ac:dyDescent="0.25">
      <c r="A496" s="217" t="s">
        <v>767</v>
      </c>
    </row>
    <row r="497" spans="1:10" x14ac:dyDescent="0.25">
      <c r="A497" s="216" t="s">
        <v>917</v>
      </c>
      <c r="B497" s="122" t="s">
        <v>245</v>
      </c>
      <c r="C497" s="122" t="s">
        <v>767</v>
      </c>
      <c r="D497" s="122" t="s">
        <v>261</v>
      </c>
      <c r="E497" s="215">
        <v>40421</v>
      </c>
      <c r="F497" s="122" t="str">
        <f t="shared" ref="F497:F528" si="40">CHOOSE(MONTH(E497),"January","February","March","April","May","June","July","August","September","October","November","December")</f>
        <v>August</v>
      </c>
      <c r="G497" s="122">
        <f t="shared" ref="G497:G528" ca="1" si="41">DATEDIF(E497,TODAY(),"Y")</f>
        <v>6</v>
      </c>
      <c r="H497" s="122" t="s">
        <v>262</v>
      </c>
      <c r="I497" s="214">
        <v>49355</v>
      </c>
      <c r="J497" s="213">
        <v>5</v>
      </c>
    </row>
    <row r="498" spans="1:10" x14ac:dyDescent="0.25">
      <c r="A498" s="216" t="s">
        <v>445</v>
      </c>
      <c r="B498" s="122" t="s">
        <v>285</v>
      </c>
      <c r="C498" s="122" t="s">
        <v>767</v>
      </c>
      <c r="D498" s="122" t="s">
        <v>247</v>
      </c>
      <c r="E498" s="215">
        <v>39343</v>
      </c>
      <c r="F498" s="122" t="str">
        <f t="shared" si="40"/>
        <v>September</v>
      </c>
      <c r="G498" s="122">
        <f t="shared" ca="1" si="41"/>
        <v>9</v>
      </c>
      <c r="I498" s="214">
        <v>89640</v>
      </c>
      <c r="J498" s="213">
        <v>4</v>
      </c>
    </row>
    <row r="499" spans="1:10" x14ac:dyDescent="0.25">
      <c r="A499" s="216" t="s">
        <v>424</v>
      </c>
      <c r="B499" s="122" t="s">
        <v>280</v>
      </c>
      <c r="C499" s="122" t="s">
        <v>767</v>
      </c>
      <c r="D499" s="122" t="s">
        <v>256</v>
      </c>
      <c r="E499" s="215">
        <v>34693</v>
      </c>
      <c r="F499" s="122" t="str">
        <f t="shared" si="40"/>
        <v>December</v>
      </c>
      <c r="G499" s="122">
        <f t="shared" ca="1" si="41"/>
        <v>21</v>
      </c>
      <c r="H499" s="122" t="s">
        <v>262</v>
      </c>
      <c r="I499" s="214">
        <v>88820</v>
      </c>
      <c r="J499" s="213">
        <v>2</v>
      </c>
    </row>
    <row r="500" spans="1:10" x14ac:dyDescent="0.25">
      <c r="A500" s="216" t="s">
        <v>984</v>
      </c>
      <c r="B500" s="122" t="s">
        <v>271</v>
      </c>
      <c r="C500" s="122" t="s">
        <v>767</v>
      </c>
      <c r="D500" s="122" t="s">
        <v>256</v>
      </c>
      <c r="E500" s="215">
        <v>36673</v>
      </c>
      <c r="F500" s="122" t="str">
        <f t="shared" si="40"/>
        <v>May</v>
      </c>
      <c r="G500" s="122">
        <f t="shared" ca="1" si="41"/>
        <v>16</v>
      </c>
      <c r="H500" s="122" t="s">
        <v>276</v>
      </c>
      <c r="I500" s="214">
        <v>48330</v>
      </c>
      <c r="J500" s="213">
        <v>1</v>
      </c>
    </row>
    <row r="501" spans="1:10" x14ac:dyDescent="0.25">
      <c r="A501" s="216" t="s">
        <v>393</v>
      </c>
      <c r="B501" s="122" t="s">
        <v>245</v>
      </c>
      <c r="C501" s="122" t="s">
        <v>767</v>
      </c>
      <c r="D501" s="122" t="s">
        <v>256</v>
      </c>
      <c r="E501" s="215">
        <v>35821</v>
      </c>
      <c r="F501" s="122" t="str">
        <f t="shared" si="40"/>
        <v>January</v>
      </c>
      <c r="G501" s="122">
        <f t="shared" ca="1" si="41"/>
        <v>18</v>
      </c>
      <c r="H501" s="122" t="s">
        <v>267</v>
      </c>
      <c r="I501" s="214">
        <v>22870</v>
      </c>
      <c r="J501" s="213">
        <v>3</v>
      </c>
    </row>
    <row r="502" spans="1:10" x14ac:dyDescent="0.25">
      <c r="A502" s="216" t="s">
        <v>364</v>
      </c>
      <c r="B502" s="122" t="s">
        <v>271</v>
      </c>
      <c r="C502" s="122" t="s">
        <v>767</v>
      </c>
      <c r="D502" s="122" t="s">
        <v>256</v>
      </c>
      <c r="E502" s="215">
        <v>37138</v>
      </c>
      <c r="F502" s="122" t="str">
        <f t="shared" si="40"/>
        <v>September</v>
      </c>
      <c r="G502" s="122">
        <f t="shared" ca="1" si="41"/>
        <v>15</v>
      </c>
      <c r="H502" s="122" t="s">
        <v>257</v>
      </c>
      <c r="I502" s="214">
        <v>29130</v>
      </c>
      <c r="J502" s="213">
        <v>1</v>
      </c>
    </row>
    <row r="503" spans="1:10" x14ac:dyDescent="0.25">
      <c r="A503" s="216" t="s">
        <v>352</v>
      </c>
      <c r="B503" s="122" t="s">
        <v>271</v>
      </c>
      <c r="C503" s="122" t="s">
        <v>767</v>
      </c>
      <c r="D503" s="122" t="s">
        <v>256</v>
      </c>
      <c r="E503" s="215">
        <v>40624</v>
      </c>
      <c r="F503" s="122" t="str">
        <f t="shared" si="40"/>
        <v>March</v>
      </c>
      <c r="G503" s="122">
        <f t="shared" ca="1" si="41"/>
        <v>5</v>
      </c>
      <c r="H503" s="122" t="s">
        <v>276</v>
      </c>
      <c r="I503" s="214">
        <v>86500</v>
      </c>
      <c r="J503" s="213">
        <v>1</v>
      </c>
    </row>
    <row r="504" spans="1:10" x14ac:dyDescent="0.25">
      <c r="A504" s="216" t="s">
        <v>653</v>
      </c>
      <c r="B504" s="122" t="s">
        <v>271</v>
      </c>
      <c r="C504" s="122" t="s">
        <v>767</v>
      </c>
      <c r="D504" s="122" t="s">
        <v>256</v>
      </c>
      <c r="E504" s="215">
        <v>36195</v>
      </c>
      <c r="F504" s="122" t="str">
        <f t="shared" si="40"/>
        <v>February</v>
      </c>
      <c r="G504" s="122">
        <f t="shared" ca="1" si="41"/>
        <v>17</v>
      </c>
      <c r="H504" s="122" t="s">
        <v>267</v>
      </c>
      <c r="I504" s="214">
        <v>46360</v>
      </c>
      <c r="J504" s="213">
        <v>5</v>
      </c>
    </row>
    <row r="505" spans="1:10" x14ac:dyDescent="0.25">
      <c r="A505" s="216" t="s">
        <v>774</v>
      </c>
      <c r="B505" s="122" t="s">
        <v>285</v>
      </c>
      <c r="C505" s="122" t="s">
        <v>767</v>
      </c>
      <c r="D505" s="122" t="s">
        <v>247</v>
      </c>
      <c r="E505" s="215">
        <v>34658</v>
      </c>
      <c r="F505" s="122" t="str">
        <f t="shared" si="40"/>
        <v>November</v>
      </c>
      <c r="G505" s="122">
        <f t="shared" ca="1" si="41"/>
        <v>21</v>
      </c>
      <c r="I505" s="214">
        <v>85980</v>
      </c>
      <c r="J505" s="213">
        <v>2</v>
      </c>
    </row>
    <row r="506" spans="1:10" x14ac:dyDescent="0.25">
      <c r="A506" s="216" t="s">
        <v>827</v>
      </c>
      <c r="B506" s="122" t="s">
        <v>285</v>
      </c>
      <c r="C506" s="122" t="s">
        <v>767</v>
      </c>
      <c r="D506" s="122" t="s">
        <v>256</v>
      </c>
      <c r="E506" s="215">
        <v>39362</v>
      </c>
      <c r="F506" s="122" t="str">
        <f t="shared" si="40"/>
        <v>October</v>
      </c>
      <c r="G506" s="122">
        <f t="shared" ca="1" si="41"/>
        <v>9</v>
      </c>
      <c r="H506" s="122" t="s">
        <v>262</v>
      </c>
      <c r="I506" s="214">
        <v>42020</v>
      </c>
      <c r="J506" s="213">
        <v>5</v>
      </c>
    </row>
    <row r="507" spans="1:10" x14ac:dyDescent="0.25">
      <c r="A507" s="216" t="s">
        <v>638</v>
      </c>
      <c r="B507" s="122" t="s">
        <v>285</v>
      </c>
      <c r="C507" s="122" t="s">
        <v>767</v>
      </c>
      <c r="D507" s="122" t="s">
        <v>252</v>
      </c>
      <c r="E507" s="215">
        <v>36340</v>
      </c>
      <c r="F507" s="122" t="str">
        <f t="shared" si="40"/>
        <v>June</v>
      </c>
      <c r="G507" s="122">
        <f t="shared" ca="1" si="41"/>
        <v>17</v>
      </c>
      <c r="I507" s="214">
        <v>37016</v>
      </c>
      <c r="J507" s="213">
        <v>4</v>
      </c>
    </row>
    <row r="508" spans="1:10" x14ac:dyDescent="0.25">
      <c r="A508" s="216" t="s">
        <v>708</v>
      </c>
      <c r="B508" s="122" t="s">
        <v>245</v>
      </c>
      <c r="C508" s="122" t="s">
        <v>767</v>
      </c>
      <c r="D508" s="122" t="s">
        <v>247</v>
      </c>
      <c r="E508" s="215">
        <v>33167</v>
      </c>
      <c r="F508" s="122" t="str">
        <f t="shared" si="40"/>
        <v>October</v>
      </c>
      <c r="G508" s="122">
        <f t="shared" ca="1" si="41"/>
        <v>26</v>
      </c>
      <c r="I508" s="214">
        <v>23020</v>
      </c>
      <c r="J508" s="213">
        <v>4</v>
      </c>
    </row>
    <row r="509" spans="1:10" x14ac:dyDescent="0.25">
      <c r="A509" s="216" t="s">
        <v>776</v>
      </c>
      <c r="B509" s="122" t="s">
        <v>251</v>
      </c>
      <c r="C509" s="122" t="s">
        <v>767</v>
      </c>
      <c r="D509" s="122" t="s">
        <v>256</v>
      </c>
      <c r="E509" s="215">
        <v>36136</v>
      </c>
      <c r="F509" s="122" t="str">
        <f t="shared" si="40"/>
        <v>December</v>
      </c>
      <c r="G509" s="122">
        <f t="shared" ca="1" si="41"/>
        <v>17</v>
      </c>
      <c r="H509" s="122" t="s">
        <v>283</v>
      </c>
      <c r="I509" s="214">
        <v>45000</v>
      </c>
      <c r="J509" s="213">
        <v>4</v>
      </c>
    </row>
    <row r="510" spans="1:10" x14ac:dyDescent="0.25">
      <c r="A510" s="216" t="s">
        <v>726</v>
      </c>
      <c r="B510" s="122" t="s">
        <v>271</v>
      </c>
      <c r="C510" s="122" t="s">
        <v>767</v>
      </c>
      <c r="D510" s="122" t="s">
        <v>256</v>
      </c>
      <c r="E510" s="215">
        <v>34061</v>
      </c>
      <c r="F510" s="122" t="str">
        <f t="shared" si="40"/>
        <v>April</v>
      </c>
      <c r="G510" s="122">
        <f t="shared" ca="1" si="41"/>
        <v>23</v>
      </c>
      <c r="H510" s="122" t="s">
        <v>257</v>
      </c>
      <c r="I510" s="214">
        <v>23320</v>
      </c>
      <c r="J510" s="213">
        <v>4</v>
      </c>
    </row>
    <row r="511" spans="1:10" x14ac:dyDescent="0.25">
      <c r="A511" s="216" t="s">
        <v>985</v>
      </c>
      <c r="B511" s="122" t="s">
        <v>245</v>
      </c>
      <c r="C511" s="122" t="s">
        <v>767</v>
      </c>
      <c r="D511" s="122" t="s">
        <v>247</v>
      </c>
      <c r="E511" s="215">
        <v>33638</v>
      </c>
      <c r="F511" s="122" t="str">
        <f t="shared" si="40"/>
        <v>February</v>
      </c>
      <c r="G511" s="122">
        <f t="shared" ca="1" si="41"/>
        <v>24</v>
      </c>
      <c r="I511" s="214">
        <v>47590</v>
      </c>
      <c r="J511" s="213">
        <v>3</v>
      </c>
    </row>
    <row r="512" spans="1:10" x14ac:dyDescent="0.25">
      <c r="A512" s="216" t="s">
        <v>948</v>
      </c>
      <c r="B512" s="122" t="s">
        <v>271</v>
      </c>
      <c r="C512" s="122" t="s">
        <v>767</v>
      </c>
      <c r="D512" s="122" t="s">
        <v>256</v>
      </c>
      <c r="E512" s="215">
        <v>33526</v>
      </c>
      <c r="F512" s="122" t="str">
        <f t="shared" si="40"/>
        <v>October</v>
      </c>
      <c r="G512" s="122">
        <f t="shared" ca="1" si="41"/>
        <v>25</v>
      </c>
      <c r="H512" s="122" t="s">
        <v>267</v>
      </c>
      <c r="I512" s="214">
        <v>79400</v>
      </c>
      <c r="J512" s="213">
        <v>4</v>
      </c>
    </row>
    <row r="513" spans="1:10" x14ac:dyDescent="0.25">
      <c r="A513" s="216" t="s">
        <v>557</v>
      </c>
      <c r="B513" s="122" t="s">
        <v>271</v>
      </c>
      <c r="C513" s="122" t="s">
        <v>767</v>
      </c>
      <c r="D513" s="122" t="s">
        <v>247</v>
      </c>
      <c r="E513" s="215">
        <v>33402</v>
      </c>
      <c r="F513" s="122" t="str">
        <f t="shared" si="40"/>
        <v>June</v>
      </c>
      <c r="G513" s="122">
        <f t="shared" ca="1" si="41"/>
        <v>25</v>
      </c>
      <c r="I513" s="214">
        <v>79380</v>
      </c>
      <c r="J513" s="213">
        <v>1</v>
      </c>
    </row>
    <row r="514" spans="1:10" x14ac:dyDescent="0.25">
      <c r="A514" s="216" t="s">
        <v>596</v>
      </c>
      <c r="B514" s="122" t="s">
        <v>251</v>
      </c>
      <c r="C514" s="122" t="s">
        <v>767</v>
      </c>
      <c r="D514" s="122" t="s">
        <v>247</v>
      </c>
      <c r="E514" s="215">
        <v>35699</v>
      </c>
      <c r="F514" s="122" t="str">
        <f t="shared" si="40"/>
        <v>September</v>
      </c>
      <c r="G514" s="122">
        <f t="shared" ca="1" si="41"/>
        <v>19</v>
      </c>
      <c r="I514" s="214">
        <v>36230</v>
      </c>
      <c r="J514" s="213">
        <v>2</v>
      </c>
    </row>
    <row r="515" spans="1:10" x14ac:dyDescent="0.25">
      <c r="A515" s="216" t="s">
        <v>609</v>
      </c>
      <c r="B515" s="122" t="s">
        <v>245</v>
      </c>
      <c r="C515" s="122" t="s">
        <v>767</v>
      </c>
      <c r="D515" s="122" t="s">
        <v>247</v>
      </c>
      <c r="E515" s="215">
        <v>33578</v>
      </c>
      <c r="F515" s="122" t="str">
        <f t="shared" si="40"/>
        <v>December</v>
      </c>
      <c r="G515" s="122">
        <f t="shared" ca="1" si="41"/>
        <v>24</v>
      </c>
      <c r="I515" s="214">
        <v>50840</v>
      </c>
      <c r="J515" s="213">
        <v>4</v>
      </c>
    </row>
    <row r="516" spans="1:10" x14ac:dyDescent="0.25">
      <c r="A516" s="216" t="s">
        <v>449</v>
      </c>
      <c r="B516" s="122" t="s">
        <v>271</v>
      </c>
      <c r="C516" s="122" t="s">
        <v>767</v>
      </c>
      <c r="D516" s="122" t="s">
        <v>261</v>
      </c>
      <c r="E516" s="215">
        <v>40166</v>
      </c>
      <c r="F516" s="122" t="str">
        <f t="shared" si="40"/>
        <v>December</v>
      </c>
      <c r="G516" s="122">
        <f t="shared" ca="1" si="41"/>
        <v>6</v>
      </c>
      <c r="H516" s="122" t="s">
        <v>276</v>
      </c>
      <c r="I516" s="214">
        <v>25245</v>
      </c>
      <c r="J516" s="213">
        <v>5</v>
      </c>
    </row>
    <row r="517" spans="1:10" x14ac:dyDescent="0.25">
      <c r="A517" s="216" t="s">
        <v>995</v>
      </c>
      <c r="B517" s="122" t="s">
        <v>245</v>
      </c>
      <c r="C517" s="122" t="s">
        <v>767</v>
      </c>
      <c r="D517" s="122" t="s">
        <v>247</v>
      </c>
      <c r="E517" s="215">
        <v>36086</v>
      </c>
      <c r="F517" s="122" t="str">
        <f t="shared" si="40"/>
        <v>October</v>
      </c>
      <c r="G517" s="122">
        <f t="shared" ca="1" si="41"/>
        <v>18</v>
      </c>
      <c r="I517" s="214">
        <v>47520</v>
      </c>
      <c r="J517" s="213">
        <v>1</v>
      </c>
    </row>
    <row r="518" spans="1:10" x14ac:dyDescent="0.25">
      <c r="A518" s="216" t="s">
        <v>330</v>
      </c>
      <c r="B518" s="122" t="s">
        <v>285</v>
      </c>
      <c r="C518" s="122" t="s">
        <v>767</v>
      </c>
      <c r="D518" s="122" t="s">
        <v>256</v>
      </c>
      <c r="E518" s="215">
        <v>37701</v>
      </c>
      <c r="F518" s="122" t="str">
        <f t="shared" si="40"/>
        <v>March</v>
      </c>
      <c r="G518" s="122">
        <f t="shared" ca="1" si="41"/>
        <v>13</v>
      </c>
      <c r="H518" s="122" t="s">
        <v>262</v>
      </c>
      <c r="I518" s="214">
        <v>23560</v>
      </c>
      <c r="J518" s="213">
        <v>3</v>
      </c>
    </row>
    <row r="519" spans="1:10" x14ac:dyDescent="0.25">
      <c r="A519" s="216" t="s">
        <v>584</v>
      </c>
      <c r="B519" s="122" t="s">
        <v>271</v>
      </c>
      <c r="C519" s="122" t="s">
        <v>767</v>
      </c>
      <c r="D519" s="122" t="s">
        <v>256</v>
      </c>
      <c r="E519" s="215">
        <v>33460</v>
      </c>
      <c r="F519" s="122" t="str">
        <f t="shared" si="40"/>
        <v>August</v>
      </c>
      <c r="G519" s="122">
        <f t="shared" ca="1" si="41"/>
        <v>25</v>
      </c>
      <c r="H519" s="122" t="s">
        <v>267</v>
      </c>
      <c r="I519" s="214">
        <v>77740</v>
      </c>
      <c r="J519" s="213">
        <v>1</v>
      </c>
    </row>
    <row r="520" spans="1:10" x14ac:dyDescent="0.25">
      <c r="A520" s="216" t="s">
        <v>556</v>
      </c>
      <c r="B520" s="122" t="s">
        <v>280</v>
      </c>
      <c r="C520" s="122" t="s">
        <v>767</v>
      </c>
      <c r="D520" s="122" t="s">
        <v>256</v>
      </c>
      <c r="E520" s="215">
        <v>37848</v>
      </c>
      <c r="F520" s="122" t="str">
        <f t="shared" si="40"/>
        <v>August</v>
      </c>
      <c r="G520" s="122">
        <f t="shared" ca="1" si="41"/>
        <v>13</v>
      </c>
      <c r="H520" s="122" t="s">
        <v>262</v>
      </c>
      <c r="I520" s="214">
        <v>76910</v>
      </c>
      <c r="J520" s="213">
        <v>2</v>
      </c>
    </row>
    <row r="521" spans="1:10" x14ac:dyDescent="0.25">
      <c r="A521" s="216" t="s">
        <v>976</v>
      </c>
      <c r="B521" s="122" t="s">
        <v>280</v>
      </c>
      <c r="C521" s="122" t="s">
        <v>767</v>
      </c>
      <c r="D521" s="122" t="s">
        <v>247</v>
      </c>
      <c r="E521" s="215">
        <v>34915</v>
      </c>
      <c r="F521" s="122" t="str">
        <f t="shared" si="40"/>
        <v>August</v>
      </c>
      <c r="G521" s="122">
        <f t="shared" ca="1" si="41"/>
        <v>21</v>
      </c>
      <c r="I521" s="214">
        <v>76870</v>
      </c>
      <c r="J521" s="213">
        <v>5</v>
      </c>
    </row>
    <row r="522" spans="1:10" x14ac:dyDescent="0.25">
      <c r="A522" s="216" t="s">
        <v>780</v>
      </c>
      <c r="B522" s="122" t="s">
        <v>280</v>
      </c>
      <c r="C522" s="122" t="s">
        <v>767</v>
      </c>
      <c r="D522" s="122" t="s">
        <v>261</v>
      </c>
      <c r="E522" s="215">
        <v>36217</v>
      </c>
      <c r="F522" s="122" t="str">
        <f t="shared" si="40"/>
        <v>February</v>
      </c>
      <c r="G522" s="122">
        <f t="shared" ca="1" si="41"/>
        <v>17</v>
      </c>
      <c r="H522" s="122" t="s">
        <v>283</v>
      </c>
      <c r="I522" s="214">
        <v>22475</v>
      </c>
      <c r="J522" s="213">
        <v>4</v>
      </c>
    </row>
    <row r="523" spans="1:10" x14ac:dyDescent="0.25">
      <c r="A523" s="216" t="s">
        <v>426</v>
      </c>
      <c r="B523" s="122" t="s">
        <v>285</v>
      </c>
      <c r="C523" s="122" t="s">
        <v>767</v>
      </c>
      <c r="D523" s="122" t="s">
        <v>256</v>
      </c>
      <c r="E523" s="215">
        <v>39446</v>
      </c>
      <c r="F523" s="122" t="str">
        <f t="shared" si="40"/>
        <v>December</v>
      </c>
      <c r="G523" s="122">
        <f t="shared" ca="1" si="41"/>
        <v>8</v>
      </c>
      <c r="H523" s="122" t="s">
        <v>257</v>
      </c>
      <c r="I523" s="214">
        <v>44650</v>
      </c>
      <c r="J523" s="213">
        <v>1</v>
      </c>
    </row>
    <row r="524" spans="1:10" x14ac:dyDescent="0.25">
      <c r="A524" s="216" t="s">
        <v>548</v>
      </c>
      <c r="B524" s="122" t="s">
        <v>285</v>
      </c>
      <c r="C524" s="122" t="s">
        <v>767</v>
      </c>
      <c r="D524" s="122" t="s">
        <v>256</v>
      </c>
      <c r="E524" s="215">
        <v>33128</v>
      </c>
      <c r="F524" s="122" t="str">
        <f t="shared" si="40"/>
        <v>September</v>
      </c>
      <c r="G524" s="122">
        <f t="shared" ca="1" si="41"/>
        <v>26</v>
      </c>
      <c r="H524" s="122" t="s">
        <v>267</v>
      </c>
      <c r="I524" s="214">
        <v>46110</v>
      </c>
      <c r="J524" s="213">
        <v>4</v>
      </c>
    </row>
    <row r="525" spans="1:10" x14ac:dyDescent="0.25">
      <c r="A525" s="216" t="s">
        <v>762</v>
      </c>
      <c r="B525" s="122" t="s">
        <v>285</v>
      </c>
      <c r="C525" s="122" t="s">
        <v>767</v>
      </c>
      <c r="D525" s="122" t="s">
        <v>256</v>
      </c>
      <c r="E525" s="215">
        <v>37568</v>
      </c>
      <c r="F525" s="122" t="str">
        <f t="shared" si="40"/>
        <v>November</v>
      </c>
      <c r="G525" s="122">
        <f t="shared" ca="1" si="41"/>
        <v>14</v>
      </c>
      <c r="H525" s="122" t="s">
        <v>262</v>
      </c>
      <c r="I525" s="214">
        <v>45100</v>
      </c>
      <c r="J525" s="213">
        <v>2</v>
      </c>
    </row>
    <row r="526" spans="1:10" x14ac:dyDescent="0.25">
      <c r="A526" s="216" t="s">
        <v>820</v>
      </c>
      <c r="B526" s="122" t="s">
        <v>245</v>
      </c>
      <c r="C526" s="122" t="s">
        <v>767</v>
      </c>
      <c r="D526" s="122" t="s">
        <v>261</v>
      </c>
      <c r="E526" s="215">
        <v>33671</v>
      </c>
      <c r="F526" s="122" t="str">
        <f t="shared" si="40"/>
        <v>March</v>
      </c>
      <c r="G526" s="122">
        <f t="shared" ca="1" si="41"/>
        <v>24</v>
      </c>
      <c r="H526" s="122" t="s">
        <v>257</v>
      </c>
      <c r="I526" s="214">
        <v>46380</v>
      </c>
      <c r="J526" s="213">
        <v>3</v>
      </c>
    </row>
    <row r="527" spans="1:10" x14ac:dyDescent="0.25">
      <c r="A527" s="216" t="s">
        <v>459</v>
      </c>
      <c r="B527" s="122" t="s">
        <v>266</v>
      </c>
      <c r="C527" s="122" t="s">
        <v>767</v>
      </c>
      <c r="D527" s="122" t="s">
        <v>256</v>
      </c>
      <c r="E527" s="215">
        <v>39217</v>
      </c>
      <c r="F527" s="122" t="str">
        <f t="shared" si="40"/>
        <v>May</v>
      </c>
      <c r="G527" s="122">
        <f t="shared" ca="1" si="41"/>
        <v>9</v>
      </c>
      <c r="H527" s="122" t="s">
        <v>257</v>
      </c>
      <c r="I527" s="214">
        <v>73830</v>
      </c>
      <c r="J527" s="213">
        <v>2</v>
      </c>
    </row>
    <row r="528" spans="1:10" x14ac:dyDescent="0.25">
      <c r="A528" s="216" t="s">
        <v>534</v>
      </c>
      <c r="B528" s="122" t="s">
        <v>251</v>
      </c>
      <c r="C528" s="122" t="s">
        <v>767</v>
      </c>
      <c r="D528" s="122" t="s">
        <v>256</v>
      </c>
      <c r="E528" s="215">
        <v>35918</v>
      </c>
      <c r="F528" s="122" t="str">
        <f t="shared" si="40"/>
        <v>May</v>
      </c>
      <c r="G528" s="122">
        <f t="shared" ca="1" si="41"/>
        <v>18</v>
      </c>
      <c r="H528" s="122" t="s">
        <v>262</v>
      </c>
      <c r="I528" s="214">
        <v>73740</v>
      </c>
      <c r="J528" s="213">
        <v>4</v>
      </c>
    </row>
    <row r="529" spans="1:10" x14ac:dyDescent="0.25">
      <c r="A529" s="216" t="s">
        <v>670</v>
      </c>
      <c r="B529" s="122" t="s">
        <v>285</v>
      </c>
      <c r="C529" s="122" t="s">
        <v>767</v>
      </c>
      <c r="D529" s="122" t="s">
        <v>247</v>
      </c>
      <c r="E529" s="215">
        <v>35146</v>
      </c>
      <c r="F529" s="122" t="str">
        <f t="shared" ref="F529:F560" si="42">CHOOSE(MONTH(E529),"January","February","March","April","May","June","July","August","September","October","November","December")</f>
        <v>March</v>
      </c>
      <c r="G529" s="122">
        <f t="shared" ref="G529:G560" ca="1" si="43">DATEDIF(E529,TODAY(),"Y")</f>
        <v>20</v>
      </c>
      <c r="I529" s="214">
        <v>73190</v>
      </c>
      <c r="J529" s="213">
        <v>1</v>
      </c>
    </row>
    <row r="530" spans="1:10" x14ac:dyDescent="0.25">
      <c r="A530" s="216" t="s">
        <v>715</v>
      </c>
      <c r="B530" s="122" t="s">
        <v>245</v>
      </c>
      <c r="C530" s="122" t="s">
        <v>767</v>
      </c>
      <c r="D530" s="122" t="s">
        <v>256</v>
      </c>
      <c r="E530" s="215">
        <v>35286</v>
      </c>
      <c r="F530" s="122" t="str">
        <f t="shared" si="42"/>
        <v>August</v>
      </c>
      <c r="G530" s="122">
        <f t="shared" ca="1" si="43"/>
        <v>20</v>
      </c>
      <c r="H530" s="122" t="s">
        <v>262</v>
      </c>
      <c r="I530" s="214">
        <v>72700</v>
      </c>
      <c r="J530" s="213">
        <v>5</v>
      </c>
    </row>
    <row r="531" spans="1:10" x14ac:dyDescent="0.25">
      <c r="A531" s="216" t="s">
        <v>965</v>
      </c>
      <c r="B531" s="122" t="s">
        <v>285</v>
      </c>
      <c r="C531" s="122" t="s">
        <v>767</v>
      </c>
      <c r="D531" s="122" t="s">
        <v>256</v>
      </c>
      <c r="E531" s="215">
        <v>35169</v>
      </c>
      <c r="F531" s="122" t="str">
        <f t="shared" si="42"/>
        <v>April</v>
      </c>
      <c r="G531" s="122">
        <f t="shared" ca="1" si="43"/>
        <v>20</v>
      </c>
      <c r="H531" s="122" t="s">
        <v>276</v>
      </c>
      <c r="I531" s="214">
        <v>72640</v>
      </c>
      <c r="J531" s="213">
        <v>3</v>
      </c>
    </row>
    <row r="532" spans="1:10" x14ac:dyDescent="0.25">
      <c r="A532" s="216" t="s">
        <v>933</v>
      </c>
      <c r="B532" s="122" t="s">
        <v>285</v>
      </c>
      <c r="C532" s="122" t="s">
        <v>767</v>
      </c>
      <c r="D532" s="122" t="s">
        <v>256</v>
      </c>
      <c r="E532" s="215">
        <v>33573</v>
      </c>
      <c r="F532" s="122" t="str">
        <f t="shared" si="42"/>
        <v>December</v>
      </c>
      <c r="G532" s="122">
        <f t="shared" ca="1" si="43"/>
        <v>24</v>
      </c>
      <c r="H532" s="122" t="s">
        <v>276</v>
      </c>
      <c r="I532" s="214">
        <v>71680</v>
      </c>
      <c r="J532" s="213">
        <v>4</v>
      </c>
    </row>
    <row r="533" spans="1:10" x14ac:dyDescent="0.25">
      <c r="A533" s="216" t="s">
        <v>497</v>
      </c>
      <c r="B533" s="122" t="s">
        <v>266</v>
      </c>
      <c r="C533" s="122" t="s">
        <v>767</v>
      </c>
      <c r="D533" s="122" t="s">
        <v>247</v>
      </c>
      <c r="E533" s="215">
        <v>36375</v>
      </c>
      <c r="F533" s="122" t="str">
        <f t="shared" si="42"/>
        <v>August</v>
      </c>
      <c r="G533" s="122">
        <f t="shared" ca="1" si="43"/>
        <v>17</v>
      </c>
      <c r="I533" s="214">
        <v>71300</v>
      </c>
      <c r="J533" s="213">
        <v>5</v>
      </c>
    </row>
    <row r="534" spans="1:10" x14ac:dyDescent="0.25">
      <c r="A534" s="216" t="s">
        <v>1021</v>
      </c>
      <c r="B534" s="122" t="s">
        <v>245</v>
      </c>
      <c r="C534" s="122" t="s">
        <v>767</v>
      </c>
      <c r="D534" s="122" t="s">
        <v>252</v>
      </c>
      <c r="E534" s="215">
        <v>35946</v>
      </c>
      <c r="F534" s="122" t="str">
        <f t="shared" si="42"/>
        <v>May</v>
      </c>
      <c r="G534" s="122">
        <f t="shared" ca="1" si="43"/>
        <v>18</v>
      </c>
      <c r="I534" s="214">
        <v>14332</v>
      </c>
      <c r="J534" s="213">
        <v>5</v>
      </c>
    </row>
    <row r="535" spans="1:10" x14ac:dyDescent="0.25">
      <c r="A535" s="216" t="s">
        <v>757</v>
      </c>
      <c r="B535" s="122" t="s">
        <v>280</v>
      </c>
      <c r="C535" s="122" t="s">
        <v>767</v>
      </c>
      <c r="D535" s="122" t="s">
        <v>261</v>
      </c>
      <c r="E535" s="215">
        <v>39728</v>
      </c>
      <c r="F535" s="122" t="str">
        <f t="shared" si="42"/>
        <v>October</v>
      </c>
      <c r="G535" s="122">
        <f t="shared" ca="1" si="43"/>
        <v>8</v>
      </c>
      <c r="H535" s="122" t="s">
        <v>257</v>
      </c>
      <c r="I535" s="214">
        <v>45565</v>
      </c>
      <c r="J535" s="213">
        <v>1</v>
      </c>
    </row>
    <row r="536" spans="1:10" x14ac:dyDescent="0.25">
      <c r="A536" s="216" t="s">
        <v>430</v>
      </c>
      <c r="B536" s="122" t="s">
        <v>271</v>
      </c>
      <c r="C536" s="122" t="s">
        <v>767</v>
      </c>
      <c r="D536" s="122" t="s">
        <v>256</v>
      </c>
      <c r="E536" s="215">
        <v>34169</v>
      </c>
      <c r="F536" s="122" t="str">
        <f t="shared" si="42"/>
        <v>July</v>
      </c>
      <c r="G536" s="122">
        <f t="shared" ca="1" si="43"/>
        <v>23</v>
      </c>
      <c r="H536" s="122" t="s">
        <v>267</v>
      </c>
      <c r="I536" s="214">
        <v>69420</v>
      </c>
      <c r="J536" s="213">
        <v>2</v>
      </c>
    </row>
    <row r="537" spans="1:10" x14ac:dyDescent="0.25">
      <c r="A537" s="216" t="s">
        <v>990</v>
      </c>
      <c r="B537" s="122" t="s">
        <v>285</v>
      </c>
      <c r="C537" s="122" t="s">
        <v>767</v>
      </c>
      <c r="D537" s="122" t="s">
        <v>261</v>
      </c>
      <c r="E537" s="215">
        <v>38173</v>
      </c>
      <c r="F537" s="122" t="str">
        <f t="shared" si="42"/>
        <v>July</v>
      </c>
      <c r="G537" s="122">
        <f t="shared" ca="1" si="43"/>
        <v>12</v>
      </c>
      <c r="H537" s="122" t="s">
        <v>283</v>
      </c>
      <c r="I537" s="214">
        <v>32900</v>
      </c>
      <c r="J537" s="213">
        <v>2</v>
      </c>
    </row>
    <row r="538" spans="1:10" x14ac:dyDescent="0.25">
      <c r="A538" s="216" t="s">
        <v>578</v>
      </c>
      <c r="B538" s="122" t="s">
        <v>271</v>
      </c>
      <c r="C538" s="122" t="s">
        <v>767</v>
      </c>
      <c r="D538" s="122" t="s">
        <v>256</v>
      </c>
      <c r="E538" s="215">
        <v>36393</v>
      </c>
      <c r="F538" s="122" t="str">
        <f t="shared" si="42"/>
        <v>August</v>
      </c>
      <c r="G538" s="122">
        <f t="shared" ca="1" si="43"/>
        <v>17</v>
      </c>
      <c r="H538" s="122" t="s">
        <v>283</v>
      </c>
      <c r="I538" s="214">
        <v>65910</v>
      </c>
      <c r="J538" s="213">
        <v>5</v>
      </c>
    </row>
    <row r="539" spans="1:10" x14ac:dyDescent="0.25">
      <c r="A539" s="216" t="s">
        <v>287</v>
      </c>
      <c r="B539" s="122" t="s">
        <v>271</v>
      </c>
      <c r="C539" s="122" t="s">
        <v>767</v>
      </c>
      <c r="D539" s="122" t="s">
        <v>256</v>
      </c>
      <c r="E539" s="215">
        <v>39047</v>
      </c>
      <c r="F539" s="122" t="str">
        <f t="shared" si="42"/>
        <v>November</v>
      </c>
      <c r="G539" s="122">
        <f t="shared" ca="1" si="43"/>
        <v>9</v>
      </c>
      <c r="H539" s="122" t="s">
        <v>283</v>
      </c>
      <c r="I539" s="214">
        <v>65880</v>
      </c>
      <c r="J539" s="213">
        <v>5</v>
      </c>
    </row>
    <row r="540" spans="1:10" x14ac:dyDescent="0.25">
      <c r="A540" s="216" t="s">
        <v>546</v>
      </c>
      <c r="B540" s="122" t="s">
        <v>271</v>
      </c>
      <c r="C540" s="122" t="s">
        <v>767</v>
      </c>
      <c r="D540" s="122" t="s">
        <v>247</v>
      </c>
      <c r="E540" s="215">
        <v>33949</v>
      </c>
      <c r="F540" s="122" t="str">
        <f t="shared" si="42"/>
        <v>December</v>
      </c>
      <c r="G540" s="122">
        <f t="shared" ca="1" si="43"/>
        <v>23</v>
      </c>
      <c r="I540" s="214">
        <v>44720</v>
      </c>
      <c r="J540" s="213">
        <v>2</v>
      </c>
    </row>
    <row r="541" spans="1:10" x14ac:dyDescent="0.25">
      <c r="A541" s="216" t="s">
        <v>875</v>
      </c>
      <c r="B541" s="122" t="s">
        <v>245</v>
      </c>
      <c r="C541" s="122" t="s">
        <v>767</v>
      </c>
      <c r="D541" s="122" t="s">
        <v>256</v>
      </c>
      <c r="E541" s="215">
        <v>34989</v>
      </c>
      <c r="F541" s="122" t="str">
        <f t="shared" si="42"/>
        <v>October</v>
      </c>
      <c r="G541" s="122">
        <f t="shared" ca="1" si="43"/>
        <v>21</v>
      </c>
      <c r="H541" s="122" t="s">
        <v>257</v>
      </c>
      <c r="I541" s="214">
        <v>50570</v>
      </c>
      <c r="J541" s="213">
        <v>4</v>
      </c>
    </row>
    <row r="542" spans="1:10" x14ac:dyDescent="0.25">
      <c r="A542" s="216" t="s">
        <v>974</v>
      </c>
      <c r="B542" s="122" t="s">
        <v>266</v>
      </c>
      <c r="C542" s="122" t="s">
        <v>767</v>
      </c>
      <c r="D542" s="122" t="s">
        <v>261</v>
      </c>
      <c r="E542" s="215">
        <v>40293</v>
      </c>
      <c r="F542" s="122" t="str">
        <f t="shared" si="42"/>
        <v>April</v>
      </c>
      <c r="G542" s="122">
        <f t="shared" ca="1" si="43"/>
        <v>6</v>
      </c>
      <c r="H542" s="122" t="s">
        <v>257</v>
      </c>
      <c r="I542" s="214">
        <v>11810</v>
      </c>
      <c r="J542" s="213">
        <v>1</v>
      </c>
    </row>
    <row r="543" spans="1:10" x14ac:dyDescent="0.25">
      <c r="A543" s="216" t="s">
        <v>1032</v>
      </c>
      <c r="B543" s="122" t="s">
        <v>285</v>
      </c>
      <c r="C543" s="122" t="s">
        <v>767</v>
      </c>
      <c r="D543" s="122" t="s">
        <v>256</v>
      </c>
      <c r="E543" s="215">
        <v>39864</v>
      </c>
      <c r="F543" s="122" t="str">
        <f t="shared" si="42"/>
        <v>February</v>
      </c>
      <c r="G543" s="122">
        <f t="shared" ca="1" si="43"/>
        <v>7</v>
      </c>
      <c r="H543" s="122" t="s">
        <v>257</v>
      </c>
      <c r="I543" s="214">
        <v>64320</v>
      </c>
      <c r="J543" s="213">
        <v>5</v>
      </c>
    </row>
    <row r="544" spans="1:10" x14ac:dyDescent="0.25">
      <c r="A544" s="216" t="s">
        <v>362</v>
      </c>
      <c r="B544" s="122" t="s">
        <v>271</v>
      </c>
      <c r="C544" s="122" t="s">
        <v>767</v>
      </c>
      <c r="D544" s="122" t="s">
        <v>247</v>
      </c>
      <c r="E544" s="215">
        <v>40404</v>
      </c>
      <c r="F544" s="122" t="str">
        <f t="shared" si="42"/>
        <v>August</v>
      </c>
      <c r="G544" s="122">
        <f t="shared" ca="1" si="43"/>
        <v>6</v>
      </c>
      <c r="I544" s="214">
        <v>39550</v>
      </c>
      <c r="J544" s="213">
        <v>5</v>
      </c>
    </row>
    <row r="545" spans="1:10" x14ac:dyDescent="0.25">
      <c r="A545" s="216" t="s">
        <v>739</v>
      </c>
      <c r="B545" s="122" t="s">
        <v>285</v>
      </c>
      <c r="C545" s="122" t="s">
        <v>767</v>
      </c>
      <c r="D545" s="122" t="s">
        <v>256</v>
      </c>
      <c r="E545" s="215">
        <v>34149</v>
      </c>
      <c r="F545" s="122" t="str">
        <f t="shared" si="42"/>
        <v>June</v>
      </c>
      <c r="G545" s="122">
        <f t="shared" ca="1" si="43"/>
        <v>23</v>
      </c>
      <c r="H545" s="122" t="s">
        <v>276</v>
      </c>
      <c r="I545" s="214">
        <v>63440</v>
      </c>
      <c r="J545" s="213">
        <v>3</v>
      </c>
    </row>
    <row r="546" spans="1:10" x14ac:dyDescent="0.25">
      <c r="A546" s="216" t="s">
        <v>434</v>
      </c>
      <c r="B546" s="122" t="s">
        <v>285</v>
      </c>
      <c r="C546" s="122" t="s">
        <v>767</v>
      </c>
      <c r="D546" s="122" t="s">
        <v>256</v>
      </c>
      <c r="E546" s="215">
        <v>35528</v>
      </c>
      <c r="F546" s="122" t="str">
        <f t="shared" si="42"/>
        <v>April</v>
      </c>
      <c r="G546" s="122">
        <f t="shared" ca="1" si="43"/>
        <v>19</v>
      </c>
      <c r="H546" s="122" t="s">
        <v>257</v>
      </c>
      <c r="I546" s="214">
        <v>63270</v>
      </c>
      <c r="J546" s="213">
        <v>1</v>
      </c>
    </row>
    <row r="547" spans="1:10" x14ac:dyDescent="0.25">
      <c r="A547" s="216" t="s">
        <v>642</v>
      </c>
      <c r="B547" s="122" t="s">
        <v>285</v>
      </c>
      <c r="C547" s="122" t="s">
        <v>767</v>
      </c>
      <c r="D547" s="122" t="s">
        <v>256</v>
      </c>
      <c r="E547" s="215">
        <v>40477</v>
      </c>
      <c r="F547" s="122" t="str">
        <f t="shared" si="42"/>
        <v>October</v>
      </c>
      <c r="G547" s="122">
        <f t="shared" ca="1" si="43"/>
        <v>6</v>
      </c>
      <c r="H547" s="122" t="s">
        <v>267</v>
      </c>
      <c r="I547" s="214">
        <v>63206</v>
      </c>
      <c r="J547" s="213">
        <v>1</v>
      </c>
    </row>
    <row r="548" spans="1:10" x14ac:dyDescent="0.25">
      <c r="A548" s="216" t="s">
        <v>913</v>
      </c>
      <c r="B548" s="122" t="s">
        <v>271</v>
      </c>
      <c r="C548" s="122" t="s">
        <v>767</v>
      </c>
      <c r="D548" s="122" t="s">
        <v>256</v>
      </c>
      <c r="E548" s="215">
        <v>33361</v>
      </c>
      <c r="F548" s="122" t="str">
        <f t="shared" si="42"/>
        <v>May</v>
      </c>
      <c r="G548" s="122">
        <f t="shared" ca="1" si="43"/>
        <v>25</v>
      </c>
      <c r="H548" s="122" t="s">
        <v>257</v>
      </c>
      <c r="I548" s="214">
        <v>24090</v>
      </c>
      <c r="J548" s="213">
        <v>4</v>
      </c>
    </row>
    <row r="549" spans="1:10" x14ac:dyDescent="0.25">
      <c r="A549" s="216" t="s">
        <v>832</v>
      </c>
      <c r="B549" s="122" t="s">
        <v>245</v>
      </c>
      <c r="C549" s="122" t="s">
        <v>767</v>
      </c>
      <c r="D549" s="122" t="s">
        <v>261</v>
      </c>
      <c r="E549" s="215">
        <v>34793</v>
      </c>
      <c r="F549" s="122" t="str">
        <f t="shared" si="42"/>
        <v>April</v>
      </c>
      <c r="G549" s="122">
        <f t="shared" ca="1" si="43"/>
        <v>21</v>
      </c>
      <c r="H549" s="122" t="s">
        <v>283</v>
      </c>
      <c r="I549" s="214">
        <v>10700</v>
      </c>
      <c r="J549" s="213">
        <v>4</v>
      </c>
    </row>
    <row r="550" spans="1:10" x14ac:dyDescent="0.25">
      <c r="A550" s="216" t="s">
        <v>607</v>
      </c>
      <c r="B550" s="122" t="s">
        <v>271</v>
      </c>
      <c r="C550" s="122" t="s">
        <v>767</v>
      </c>
      <c r="D550" s="122" t="s">
        <v>261</v>
      </c>
      <c r="E550" s="215">
        <v>37249</v>
      </c>
      <c r="F550" s="122" t="str">
        <f t="shared" si="42"/>
        <v>December</v>
      </c>
      <c r="G550" s="122">
        <f t="shared" ca="1" si="43"/>
        <v>14</v>
      </c>
      <c r="H550" s="122" t="s">
        <v>276</v>
      </c>
      <c r="I550" s="214">
        <v>12545</v>
      </c>
      <c r="J550" s="213">
        <v>4</v>
      </c>
    </row>
    <row r="551" spans="1:10" x14ac:dyDescent="0.25">
      <c r="A551" s="216" t="s">
        <v>437</v>
      </c>
      <c r="B551" s="122" t="s">
        <v>271</v>
      </c>
      <c r="C551" s="122" t="s">
        <v>767</v>
      </c>
      <c r="D551" s="122" t="s">
        <v>256</v>
      </c>
      <c r="E551" s="215">
        <v>35990</v>
      </c>
      <c r="F551" s="122" t="str">
        <f t="shared" si="42"/>
        <v>July</v>
      </c>
      <c r="G551" s="122">
        <f t="shared" ca="1" si="43"/>
        <v>18</v>
      </c>
      <c r="H551" s="122" t="s">
        <v>276</v>
      </c>
      <c r="I551" s="214">
        <v>36890</v>
      </c>
      <c r="J551" s="213">
        <v>1</v>
      </c>
    </row>
    <row r="552" spans="1:10" x14ac:dyDescent="0.25">
      <c r="A552" s="216" t="s">
        <v>447</v>
      </c>
      <c r="B552" s="122" t="s">
        <v>266</v>
      </c>
      <c r="C552" s="122" t="s">
        <v>767</v>
      </c>
      <c r="D552" s="122" t="s">
        <v>256</v>
      </c>
      <c r="E552" s="215">
        <v>38790</v>
      </c>
      <c r="F552" s="122" t="str">
        <f t="shared" si="42"/>
        <v>March</v>
      </c>
      <c r="G552" s="122">
        <f t="shared" ca="1" si="43"/>
        <v>10</v>
      </c>
      <c r="H552" s="122" t="s">
        <v>262</v>
      </c>
      <c r="I552" s="214">
        <v>62688</v>
      </c>
      <c r="J552" s="213">
        <v>3</v>
      </c>
    </row>
    <row r="553" spans="1:10" x14ac:dyDescent="0.25">
      <c r="A553" s="216" t="s">
        <v>1026</v>
      </c>
      <c r="B553" s="122" t="s">
        <v>245</v>
      </c>
      <c r="C553" s="122" t="s">
        <v>767</v>
      </c>
      <c r="D553" s="122" t="s">
        <v>247</v>
      </c>
      <c r="E553" s="215">
        <v>35541</v>
      </c>
      <c r="F553" s="122" t="str">
        <f t="shared" si="42"/>
        <v>April</v>
      </c>
      <c r="G553" s="122">
        <f t="shared" ca="1" si="43"/>
        <v>19</v>
      </c>
      <c r="I553" s="214">
        <v>49530</v>
      </c>
      <c r="J553" s="213">
        <v>4</v>
      </c>
    </row>
    <row r="554" spans="1:10" x14ac:dyDescent="0.25">
      <c r="A554" s="216" t="s">
        <v>305</v>
      </c>
      <c r="B554" s="122" t="s">
        <v>271</v>
      </c>
      <c r="C554" s="122" t="s">
        <v>767</v>
      </c>
      <c r="D554" s="122" t="s">
        <v>256</v>
      </c>
      <c r="E554" s="215">
        <v>34222</v>
      </c>
      <c r="F554" s="122" t="str">
        <f t="shared" si="42"/>
        <v>September</v>
      </c>
      <c r="G554" s="122">
        <f t="shared" ca="1" si="43"/>
        <v>23</v>
      </c>
      <c r="H554" s="122" t="s">
        <v>257</v>
      </c>
      <c r="I554" s="214">
        <v>62688</v>
      </c>
      <c r="J554" s="213">
        <v>2</v>
      </c>
    </row>
    <row r="555" spans="1:10" x14ac:dyDescent="0.25">
      <c r="A555" s="216" t="s">
        <v>369</v>
      </c>
      <c r="B555" s="122" t="s">
        <v>271</v>
      </c>
      <c r="C555" s="122" t="s">
        <v>767</v>
      </c>
      <c r="D555" s="122" t="s">
        <v>256</v>
      </c>
      <c r="E555" s="215">
        <v>36536</v>
      </c>
      <c r="F555" s="122" t="str">
        <f t="shared" si="42"/>
        <v>January</v>
      </c>
      <c r="G555" s="122">
        <f t="shared" ca="1" si="43"/>
        <v>16</v>
      </c>
      <c r="H555" s="122" t="s">
        <v>257</v>
      </c>
      <c r="I555" s="214">
        <v>62400</v>
      </c>
      <c r="J555" s="213">
        <v>4</v>
      </c>
    </row>
    <row r="556" spans="1:10" x14ac:dyDescent="0.25">
      <c r="A556" s="216" t="s">
        <v>786</v>
      </c>
      <c r="B556" s="122" t="s">
        <v>285</v>
      </c>
      <c r="C556" s="122" t="s">
        <v>767</v>
      </c>
      <c r="D556" s="122" t="s">
        <v>247</v>
      </c>
      <c r="E556" s="215">
        <v>37526</v>
      </c>
      <c r="F556" s="122" t="str">
        <f t="shared" si="42"/>
        <v>September</v>
      </c>
      <c r="G556" s="122">
        <f t="shared" ca="1" si="43"/>
        <v>14</v>
      </c>
      <c r="I556" s="214">
        <v>61580</v>
      </c>
      <c r="J556" s="213">
        <v>3</v>
      </c>
    </row>
    <row r="557" spans="1:10" x14ac:dyDescent="0.25">
      <c r="A557" s="216" t="s">
        <v>744</v>
      </c>
      <c r="B557" s="122" t="s">
        <v>285</v>
      </c>
      <c r="C557" s="122" t="s">
        <v>767</v>
      </c>
      <c r="D557" s="122" t="s">
        <v>256</v>
      </c>
      <c r="E557" s="215">
        <v>35693</v>
      </c>
      <c r="F557" s="122" t="str">
        <f t="shared" si="42"/>
        <v>September</v>
      </c>
      <c r="G557" s="122">
        <f t="shared" ca="1" si="43"/>
        <v>19</v>
      </c>
      <c r="H557" s="122" t="s">
        <v>262</v>
      </c>
      <c r="I557" s="214">
        <v>24340</v>
      </c>
      <c r="J557" s="213">
        <v>4</v>
      </c>
    </row>
    <row r="558" spans="1:10" x14ac:dyDescent="0.25">
      <c r="A558" s="216" t="s">
        <v>763</v>
      </c>
      <c r="B558" s="122" t="s">
        <v>285</v>
      </c>
      <c r="C558" s="122" t="s">
        <v>767</v>
      </c>
      <c r="D558" s="122" t="s">
        <v>256</v>
      </c>
      <c r="E558" s="215">
        <v>35958</v>
      </c>
      <c r="F558" s="122" t="str">
        <f t="shared" si="42"/>
        <v>June</v>
      </c>
      <c r="G558" s="122">
        <f t="shared" ca="1" si="43"/>
        <v>18</v>
      </c>
      <c r="H558" s="122" t="s">
        <v>283</v>
      </c>
      <c r="I558" s="214">
        <v>61420</v>
      </c>
      <c r="J558" s="213">
        <v>4</v>
      </c>
    </row>
    <row r="559" spans="1:10" x14ac:dyDescent="0.25">
      <c r="A559" s="216" t="s">
        <v>696</v>
      </c>
      <c r="B559" s="122" t="s">
        <v>266</v>
      </c>
      <c r="C559" s="122" t="s">
        <v>767</v>
      </c>
      <c r="D559" s="122" t="s">
        <v>256</v>
      </c>
      <c r="E559" s="215">
        <v>38423</v>
      </c>
      <c r="F559" s="122" t="str">
        <f t="shared" si="42"/>
        <v>March</v>
      </c>
      <c r="G559" s="122">
        <f t="shared" ca="1" si="43"/>
        <v>11</v>
      </c>
      <c r="H559" s="122" t="s">
        <v>276</v>
      </c>
      <c r="I559" s="214">
        <v>61330</v>
      </c>
      <c r="J559" s="213">
        <v>2</v>
      </c>
    </row>
    <row r="560" spans="1:10" x14ac:dyDescent="0.25">
      <c r="A560" s="216" t="s">
        <v>880</v>
      </c>
      <c r="B560" s="122" t="s">
        <v>245</v>
      </c>
      <c r="C560" s="122" t="s">
        <v>767</v>
      </c>
      <c r="D560" s="122" t="s">
        <v>256</v>
      </c>
      <c r="E560" s="215">
        <v>35094</v>
      </c>
      <c r="F560" s="122" t="str">
        <f t="shared" si="42"/>
        <v>January</v>
      </c>
      <c r="G560" s="122">
        <f t="shared" ca="1" si="43"/>
        <v>20</v>
      </c>
      <c r="H560" s="122" t="s">
        <v>262</v>
      </c>
      <c r="I560" s="214">
        <v>61148</v>
      </c>
      <c r="J560" s="213">
        <v>2</v>
      </c>
    </row>
    <row r="561" spans="1:10" x14ac:dyDescent="0.25">
      <c r="A561" s="216" t="s">
        <v>795</v>
      </c>
      <c r="B561" s="122" t="s">
        <v>245</v>
      </c>
      <c r="C561" s="122" t="s">
        <v>767</v>
      </c>
      <c r="D561" s="122" t="s">
        <v>247</v>
      </c>
      <c r="E561" s="215">
        <v>33658</v>
      </c>
      <c r="F561" s="122" t="str">
        <f t="shared" ref="F561:F584" si="44">CHOOSE(MONTH(E561),"January","February","March","April","May","June","July","August","September","October","November","December")</f>
        <v>February</v>
      </c>
      <c r="G561" s="122">
        <f t="shared" ref="G561:G584" ca="1" si="45">DATEDIF(E561,TODAY(),"Y")</f>
        <v>24</v>
      </c>
      <c r="I561" s="214">
        <v>60550</v>
      </c>
      <c r="J561" s="213">
        <v>2</v>
      </c>
    </row>
    <row r="562" spans="1:10" x14ac:dyDescent="0.25">
      <c r="A562" s="216" t="s">
        <v>841</v>
      </c>
      <c r="B562" s="122" t="s">
        <v>251</v>
      </c>
      <c r="C562" s="122" t="s">
        <v>767</v>
      </c>
      <c r="D562" s="122" t="s">
        <v>261</v>
      </c>
      <c r="E562" s="215">
        <v>40254</v>
      </c>
      <c r="F562" s="122" t="str">
        <f t="shared" si="44"/>
        <v>March</v>
      </c>
      <c r="G562" s="122">
        <f t="shared" ca="1" si="45"/>
        <v>6</v>
      </c>
      <c r="H562" s="122" t="s">
        <v>283</v>
      </c>
      <c r="I562" s="214">
        <v>48700</v>
      </c>
      <c r="J562" s="213">
        <v>3</v>
      </c>
    </row>
    <row r="563" spans="1:10" x14ac:dyDescent="0.25">
      <c r="A563" s="216" t="s">
        <v>713</v>
      </c>
      <c r="B563" s="122" t="s">
        <v>285</v>
      </c>
      <c r="C563" s="122" t="s">
        <v>767</v>
      </c>
      <c r="D563" s="122" t="s">
        <v>247</v>
      </c>
      <c r="E563" s="215">
        <v>35301</v>
      </c>
      <c r="F563" s="122" t="str">
        <f t="shared" si="44"/>
        <v>August</v>
      </c>
      <c r="G563" s="122">
        <f t="shared" ca="1" si="45"/>
        <v>20</v>
      </c>
      <c r="I563" s="214">
        <v>60070</v>
      </c>
      <c r="J563" s="213">
        <v>2</v>
      </c>
    </row>
    <row r="564" spans="1:10" x14ac:dyDescent="0.25">
      <c r="A564" s="216" t="s">
        <v>793</v>
      </c>
      <c r="B564" s="122" t="s">
        <v>271</v>
      </c>
      <c r="C564" s="122" t="s">
        <v>767</v>
      </c>
      <c r="D564" s="122" t="s">
        <v>247</v>
      </c>
      <c r="E564" s="215">
        <v>37404</v>
      </c>
      <c r="F564" s="122" t="str">
        <f t="shared" si="44"/>
        <v>May</v>
      </c>
      <c r="G564" s="122">
        <f t="shared" ca="1" si="45"/>
        <v>14</v>
      </c>
      <c r="I564" s="214">
        <v>60070</v>
      </c>
      <c r="J564" s="213">
        <v>3</v>
      </c>
    </row>
    <row r="565" spans="1:10" x14ac:dyDescent="0.25">
      <c r="A565" s="216" t="s">
        <v>582</v>
      </c>
      <c r="B565" s="122" t="s">
        <v>285</v>
      </c>
      <c r="C565" s="122" t="s">
        <v>767</v>
      </c>
      <c r="D565" s="122" t="s">
        <v>252</v>
      </c>
      <c r="E565" s="215">
        <v>36028</v>
      </c>
      <c r="F565" s="122" t="str">
        <f t="shared" si="44"/>
        <v>August</v>
      </c>
      <c r="G565" s="122">
        <f t="shared" ca="1" si="45"/>
        <v>18</v>
      </c>
      <c r="I565" s="214">
        <v>16688</v>
      </c>
      <c r="J565" s="213">
        <v>3</v>
      </c>
    </row>
    <row r="566" spans="1:10" x14ac:dyDescent="0.25">
      <c r="A566" s="216" t="s">
        <v>374</v>
      </c>
      <c r="B566" s="122" t="s">
        <v>271</v>
      </c>
      <c r="C566" s="122" t="s">
        <v>767</v>
      </c>
      <c r="D566" s="122" t="s">
        <v>256</v>
      </c>
      <c r="E566" s="215">
        <v>35219</v>
      </c>
      <c r="F566" s="122" t="str">
        <f t="shared" si="44"/>
        <v>June</v>
      </c>
      <c r="G566" s="122">
        <f t="shared" ca="1" si="45"/>
        <v>20</v>
      </c>
      <c r="H566" s="122" t="s">
        <v>257</v>
      </c>
      <c r="I566" s="214">
        <v>47340</v>
      </c>
      <c r="J566" s="213">
        <v>2</v>
      </c>
    </row>
    <row r="567" spans="1:10" x14ac:dyDescent="0.25">
      <c r="A567" s="216" t="s">
        <v>898</v>
      </c>
      <c r="B567" s="122" t="s">
        <v>271</v>
      </c>
      <c r="C567" s="122" t="s">
        <v>767</v>
      </c>
      <c r="D567" s="122" t="s">
        <v>256</v>
      </c>
      <c r="E567" s="215">
        <v>33098</v>
      </c>
      <c r="F567" s="122" t="str">
        <f t="shared" si="44"/>
        <v>August</v>
      </c>
      <c r="G567" s="122">
        <f t="shared" ca="1" si="45"/>
        <v>26</v>
      </c>
      <c r="H567" s="122" t="s">
        <v>257</v>
      </c>
      <c r="I567" s="214">
        <v>48080</v>
      </c>
      <c r="J567" s="213">
        <v>2</v>
      </c>
    </row>
    <row r="568" spans="1:10" x14ac:dyDescent="0.25">
      <c r="A568" s="216" t="s">
        <v>250</v>
      </c>
      <c r="B568" s="122" t="s">
        <v>285</v>
      </c>
      <c r="C568" s="122" t="s">
        <v>767</v>
      </c>
      <c r="D568" s="122" t="s">
        <v>256</v>
      </c>
      <c r="E568" s="215">
        <v>35616</v>
      </c>
      <c r="F568" s="122" t="str">
        <f t="shared" si="44"/>
        <v>July</v>
      </c>
      <c r="G568" s="122">
        <f t="shared" ca="1" si="45"/>
        <v>19</v>
      </c>
      <c r="H568" s="122" t="s">
        <v>283</v>
      </c>
      <c r="I568" s="214">
        <v>34060</v>
      </c>
      <c r="J568" s="213">
        <v>2</v>
      </c>
    </row>
    <row r="569" spans="1:10" x14ac:dyDescent="0.25">
      <c r="A569" s="216" t="s">
        <v>955</v>
      </c>
      <c r="B569" s="122" t="s">
        <v>285</v>
      </c>
      <c r="C569" s="122" t="s">
        <v>767</v>
      </c>
      <c r="D569" s="122" t="s">
        <v>256</v>
      </c>
      <c r="E569" s="215">
        <v>40438</v>
      </c>
      <c r="F569" s="122" t="str">
        <f t="shared" si="44"/>
        <v>September</v>
      </c>
      <c r="G569" s="122">
        <f t="shared" ca="1" si="45"/>
        <v>6</v>
      </c>
      <c r="H569" s="122" t="s">
        <v>267</v>
      </c>
      <c r="I569" s="214">
        <v>59150</v>
      </c>
      <c r="J569" s="213">
        <v>4</v>
      </c>
    </row>
    <row r="570" spans="1:10" x14ac:dyDescent="0.25">
      <c r="A570" s="216" t="s">
        <v>500</v>
      </c>
      <c r="B570" s="122" t="s">
        <v>271</v>
      </c>
      <c r="C570" s="122" t="s">
        <v>767</v>
      </c>
      <c r="D570" s="122" t="s">
        <v>247</v>
      </c>
      <c r="E570" s="215">
        <v>33234</v>
      </c>
      <c r="F570" s="122" t="str">
        <f t="shared" si="44"/>
        <v>December</v>
      </c>
      <c r="G570" s="122">
        <f t="shared" ca="1" si="45"/>
        <v>25</v>
      </c>
      <c r="I570" s="214">
        <v>58650</v>
      </c>
      <c r="J570" s="213">
        <v>4</v>
      </c>
    </row>
    <row r="571" spans="1:10" x14ac:dyDescent="0.25">
      <c r="A571" s="216" t="s">
        <v>942</v>
      </c>
      <c r="B571" s="122" t="s">
        <v>280</v>
      </c>
      <c r="C571" s="122" t="s">
        <v>767</v>
      </c>
      <c r="D571" s="122" t="s">
        <v>261</v>
      </c>
      <c r="E571" s="215">
        <v>35826</v>
      </c>
      <c r="F571" s="122" t="str">
        <f t="shared" si="44"/>
        <v>January</v>
      </c>
      <c r="G571" s="122">
        <f t="shared" ca="1" si="45"/>
        <v>18</v>
      </c>
      <c r="H571" s="122" t="s">
        <v>257</v>
      </c>
      <c r="I571" s="214">
        <v>31205</v>
      </c>
      <c r="J571" s="213">
        <v>2</v>
      </c>
    </row>
    <row r="572" spans="1:10" x14ac:dyDescent="0.25">
      <c r="A572" s="216" t="s">
        <v>980</v>
      </c>
      <c r="B572" s="122" t="s">
        <v>271</v>
      </c>
      <c r="C572" s="122" t="s">
        <v>767</v>
      </c>
      <c r="D572" s="122" t="s">
        <v>247</v>
      </c>
      <c r="E572" s="215">
        <v>36297</v>
      </c>
      <c r="F572" s="122" t="str">
        <f t="shared" si="44"/>
        <v>May</v>
      </c>
      <c r="G572" s="122">
        <f t="shared" ca="1" si="45"/>
        <v>17</v>
      </c>
      <c r="I572" s="214">
        <v>57990</v>
      </c>
      <c r="J572" s="213">
        <v>5</v>
      </c>
    </row>
    <row r="573" spans="1:10" x14ac:dyDescent="0.25">
      <c r="A573" s="216" t="s">
        <v>944</v>
      </c>
      <c r="B573" s="122" t="s">
        <v>245</v>
      </c>
      <c r="C573" s="122" t="s">
        <v>767</v>
      </c>
      <c r="D573" s="122" t="s">
        <v>247</v>
      </c>
      <c r="E573" s="215">
        <v>40410</v>
      </c>
      <c r="F573" s="122" t="str">
        <f t="shared" si="44"/>
        <v>August</v>
      </c>
      <c r="G573" s="122">
        <f t="shared" ca="1" si="45"/>
        <v>6</v>
      </c>
      <c r="I573" s="214">
        <v>57680</v>
      </c>
      <c r="J573" s="213">
        <v>4</v>
      </c>
    </row>
    <row r="574" spans="1:10" x14ac:dyDescent="0.25">
      <c r="A574" s="216" t="s">
        <v>868</v>
      </c>
      <c r="B574" s="122" t="s">
        <v>285</v>
      </c>
      <c r="C574" s="122" t="s">
        <v>767</v>
      </c>
      <c r="D574" s="122" t="s">
        <v>261</v>
      </c>
      <c r="E574" s="215">
        <v>36084</v>
      </c>
      <c r="F574" s="122" t="str">
        <f t="shared" si="44"/>
        <v>October</v>
      </c>
      <c r="G574" s="122">
        <f t="shared" ca="1" si="45"/>
        <v>18</v>
      </c>
      <c r="H574" s="122" t="s">
        <v>262</v>
      </c>
      <c r="I574" s="214">
        <v>45750</v>
      </c>
      <c r="J574" s="213">
        <v>5</v>
      </c>
    </row>
    <row r="575" spans="1:10" x14ac:dyDescent="0.25">
      <c r="A575" s="216" t="s">
        <v>699</v>
      </c>
      <c r="B575" s="122" t="s">
        <v>271</v>
      </c>
      <c r="C575" s="122" t="s">
        <v>767</v>
      </c>
      <c r="D575" s="122" t="s">
        <v>252</v>
      </c>
      <c r="E575" s="215">
        <v>36380</v>
      </c>
      <c r="F575" s="122" t="str">
        <f t="shared" si="44"/>
        <v>August</v>
      </c>
      <c r="G575" s="122">
        <f t="shared" ca="1" si="45"/>
        <v>17</v>
      </c>
      <c r="I575" s="214">
        <v>36052</v>
      </c>
      <c r="J575" s="213">
        <v>5</v>
      </c>
    </row>
    <row r="576" spans="1:10" x14ac:dyDescent="0.25">
      <c r="A576" s="216" t="s">
        <v>905</v>
      </c>
      <c r="B576" s="122" t="s">
        <v>271</v>
      </c>
      <c r="C576" s="122" t="s">
        <v>767</v>
      </c>
      <c r="D576" s="122" t="s">
        <v>247</v>
      </c>
      <c r="E576" s="215">
        <v>34478</v>
      </c>
      <c r="F576" s="122" t="str">
        <f t="shared" si="44"/>
        <v>May</v>
      </c>
      <c r="G576" s="122">
        <f t="shared" ca="1" si="45"/>
        <v>22</v>
      </c>
      <c r="I576" s="214">
        <v>56650</v>
      </c>
      <c r="J576" s="213">
        <v>1</v>
      </c>
    </row>
    <row r="577" spans="1:10" x14ac:dyDescent="0.25">
      <c r="A577" s="216" t="s">
        <v>310</v>
      </c>
      <c r="B577" s="122" t="s">
        <v>266</v>
      </c>
      <c r="C577" s="122" t="s">
        <v>767</v>
      </c>
      <c r="D577" s="122" t="s">
        <v>261</v>
      </c>
      <c r="E577" s="215">
        <v>38723</v>
      </c>
      <c r="F577" s="122" t="str">
        <f t="shared" si="44"/>
        <v>January</v>
      </c>
      <c r="G577" s="122">
        <f t="shared" ca="1" si="45"/>
        <v>10</v>
      </c>
      <c r="H577" s="122" t="s">
        <v>283</v>
      </c>
      <c r="I577" s="214">
        <v>10630</v>
      </c>
      <c r="J577" s="213">
        <v>3</v>
      </c>
    </row>
    <row r="578" spans="1:10" x14ac:dyDescent="0.25">
      <c r="A578" s="216" t="s">
        <v>689</v>
      </c>
      <c r="B578" s="122" t="s">
        <v>271</v>
      </c>
      <c r="C578" s="122" t="s">
        <v>767</v>
      </c>
      <c r="D578" s="122" t="s">
        <v>256</v>
      </c>
      <c r="E578" s="215">
        <v>36088</v>
      </c>
      <c r="F578" s="122" t="str">
        <f t="shared" si="44"/>
        <v>October</v>
      </c>
      <c r="G578" s="122">
        <f t="shared" ca="1" si="45"/>
        <v>18</v>
      </c>
      <c r="H578" s="122" t="s">
        <v>267</v>
      </c>
      <c r="I578" s="214">
        <v>54580</v>
      </c>
      <c r="J578" s="213">
        <v>4</v>
      </c>
    </row>
    <row r="579" spans="1:10" x14ac:dyDescent="0.25">
      <c r="A579" s="216" t="s">
        <v>323</v>
      </c>
      <c r="B579" s="122" t="s">
        <v>271</v>
      </c>
      <c r="C579" s="122" t="s">
        <v>767</v>
      </c>
      <c r="D579" s="122" t="s">
        <v>256</v>
      </c>
      <c r="E579" s="215">
        <v>33510</v>
      </c>
      <c r="F579" s="122" t="str">
        <f t="shared" si="44"/>
        <v>September</v>
      </c>
      <c r="G579" s="122">
        <f t="shared" ca="1" si="45"/>
        <v>25</v>
      </c>
      <c r="H579" s="122" t="s">
        <v>262</v>
      </c>
      <c r="I579" s="214">
        <v>54500</v>
      </c>
      <c r="J579" s="213">
        <v>5</v>
      </c>
    </row>
    <row r="580" spans="1:10" x14ac:dyDescent="0.25">
      <c r="A580" s="216" t="s">
        <v>342</v>
      </c>
      <c r="B580" s="122" t="s">
        <v>271</v>
      </c>
      <c r="C580" s="122" t="s">
        <v>767</v>
      </c>
      <c r="D580" s="122" t="s">
        <v>247</v>
      </c>
      <c r="E580" s="215">
        <v>34726</v>
      </c>
      <c r="F580" s="122" t="str">
        <f t="shared" si="44"/>
        <v>January</v>
      </c>
      <c r="G580" s="122">
        <f t="shared" ca="1" si="45"/>
        <v>21</v>
      </c>
      <c r="I580" s="214">
        <v>33120</v>
      </c>
      <c r="J580" s="213">
        <v>2</v>
      </c>
    </row>
    <row r="581" spans="1:10" x14ac:dyDescent="0.25">
      <c r="A581" s="216" t="s">
        <v>531</v>
      </c>
      <c r="B581" s="122" t="s">
        <v>271</v>
      </c>
      <c r="C581" s="122" t="s">
        <v>767</v>
      </c>
      <c r="D581" s="122" t="s">
        <v>256</v>
      </c>
      <c r="E581" s="215">
        <v>40137</v>
      </c>
      <c r="F581" s="122" t="str">
        <f t="shared" si="44"/>
        <v>November</v>
      </c>
      <c r="G581" s="122">
        <f t="shared" ca="1" si="45"/>
        <v>6</v>
      </c>
      <c r="H581" s="122" t="s">
        <v>257</v>
      </c>
      <c r="I581" s="214">
        <v>54190</v>
      </c>
      <c r="J581" s="213">
        <v>4</v>
      </c>
    </row>
    <row r="582" spans="1:10" x14ac:dyDescent="0.25">
      <c r="A582" s="216" t="s">
        <v>575</v>
      </c>
      <c r="B582" s="122" t="s">
        <v>271</v>
      </c>
      <c r="C582" s="122" t="s">
        <v>767</v>
      </c>
      <c r="D582" s="122" t="s">
        <v>247</v>
      </c>
      <c r="E582" s="215">
        <v>33515</v>
      </c>
      <c r="F582" s="122" t="str">
        <f t="shared" si="44"/>
        <v>October</v>
      </c>
      <c r="G582" s="122">
        <f t="shared" ca="1" si="45"/>
        <v>25</v>
      </c>
      <c r="I582" s="214">
        <v>52750</v>
      </c>
      <c r="J582" s="213">
        <v>1</v>
      </c>
    </row>
    <row r="583" spans="1:10" x14ac:dyDescent="0.25">
      <c r="A583" s="216" t="s">
        <v>455</v>
      </c>
      <c r="B583" s="122" t="s">
        <v>245</v>
      </c>
      <c r="C583" s="122" t="s">
        <v>767</v>
      </c>
      <c r="D583" s="122" t="s">
        <v>256</v>
      </c>
      <c r="E583" s="215">
        <v>39899</v>
      </c>
      <c r="F583" s="122" t="str">
        <f t="shared" si="44"/>
        <v>March</v>
      </c>
      <c r="G583" s="122">
        <f t="shared" ca="1" si="45"/>
        <v>7</v>
      </c>
      <c r="H583" s="122" t="s">
        <v>257</v>
      </c>
      <c r="I583" s="214">
        <v>24790</v>
      </c>
      <c r="J583" s="213">
        <v>3</v>
      </c>
    </row>
    <row r="584" spans="1:10" x14ac:dyDescent="0.25">
      <c r="A584" s="216" t="s">
        <v>367</v>
      </c>
      <c r="B584" s="122" t="s">
        <v>245</v>
      </c>
      <c r="C584" s="122" t="s">
        <v>767</v>
      </c>
      <c r="D584" s="122" t="s">
        <v>256</v>
      </c>
      <c r="E584" s="215">
        <v>35151</v>
      </c>
      <c r="F584" s="122" t="str">
        <f t="shared" si="44"/>
        <v>March</v>
      </c>
      <c r="G584" s="122">
        <f t="shared" ca="1" si="45"/>
        <v>20</v>
      </c>
      <c r="H584" s="122" t="s">
        <v>276</v>
      </c>
      <c r="I584" s="214">
        <v>29760</v>
      </c>
      <c r="J584" s="213">
        <v>2</v>
      </c>
    </row>
    <row r="585" spans="1:10" x14ac:dyDescent="0.25">
      <c r="A585" s="217" t="s">
        <v>856</v>
      </c>
    </row>
    <row r="586" spans="1:10" x14ac:dyDescent="0.25">
      <c r="A586" s="216" t="s">
        <v>851</v>
      </c>
      <c r="B586" s="122" t="s">
        <v>251</v>
      </c>
      <c r="C586" s="122" t="s">
        <v>856</v>
      </c>
      <c r="D586" s="122" t="s">
        <v>247</v>
      </c>
      <c r="E586" s="215">
        <v>33282</v>
      </c>
      <c r="F586" s="122" t="str">
        <f t="shared" ref="F586:F617" si="46">CHOOSE(MONTH(E586),"January","February","March","April","May","June","July","August","September","October","November","December")</f>
        <v>February</v>
      </c>
      <c r="G586" s="122">
        <f t="shared" ref="G586:G617" ca="1" si="47">DATEDIF(E586,TODAY(),"Y")</f>
        <v>25</v>
      </c>
      <c r="I586" s="214">
        <v>89450</v>
      </c>
      <c r="J586" s="213">
        <v>2</v>
      </c>
    </row>
    <row r="587" spans="1:10" x14ac:dyDescent="0.25">
      <c r="A587" s="216" t="s">
        <v>935</v>
      </c>
      <c r="B587" s="122" t="s">
        <v>271</v>
      </c>
      <c r="C587" s="122" t="s">
        <v>856</v>
      </c>
      <c r="D587" s="122" t="s">
        <v>256</v>
      </c>
      <c r="E587" s="215">
        <v>34754</v>
      </c>
      <c r="F587" s="122" t="str">
        <f t="shared" si="46"/>
        <v>February</v>
      </c>
      <c r="G587" s="122">
        <f t="shared" ca="1" si="47"/>
        <v>21</v>
      </c>
      <c r="H587" s="122" t="s">
        <v>257</v>
      </c>
      <c r="I587" s="214">
        <v>39000</v>
      </c>
      <c r="J587" s="213">
        <v>5</v>
      </c>
    </row>
    <row r="588" spans="1:10" x14ac:dyDescent="0.25">
      <c r="A588" s="216" t="s">
        <v>477</v>
      </c>
      <c r="B588" s="122" t="s">
        <v>271</v>
      </c>
      <c r="C588" s="122" t="s">
        <v>856</v>
      </c>
      <c r="D588" s="122" t="s">
        <v>261</v>
      </c>
      <c r="E588" s="215">
        <v>36196</v>
      </c>
      <c r="F588" s="122" t="str">
        <f t="shared" si="46"/>
        <v>February</v>
      </c>
      <c r="G588" s="122">
        <f t="shared" ca="1" si="47"/>
        <v>17</v>
      </c>
      <c r="H588" s="122" t="s">
        <v>257</v>
      </c>
      <c r="I588" s="214">
        <v>34980</v>
      </c>
      <c r="J588" s="213">
        <v>2</v>
      </c>
    </row>
    <row r="589" spans="1:10" x14ac:dyDescent="0.25">
      <c r="A589" s="216" t="s">
        <v>379</v>
      </c>
      <c r="B589" s="122" t="s">
        <v>285</v>
      </c>
      <c r="C589" s="122" t="s">
        <v>856</v>
      </c>
      <c r="D589" s="122" t="s">
        <v>256</v>
      </c>
      <c r="E589" s="215">
        <v>35408</v>
      </c>
      <c r="F589" s="122" t="str">
        <f t="shared" si="46"/>
        <v>December</v>
      </c>
      <c r="G589" s="122">
        <f t="shared" ca="1" si="47"/>
        <v>19</v>
      </c>
      <c r="H589" s="122" t="s">
        <v>283</v>
      </c>
      <c r="I589" s="214">
        <v>34330</v>
      </c>
      <c r="J589" s="213">
        <v>3</v>
      </c>
    </row>
    <row r="590" spans="1:10" x14ac:dyDescent="0.25">
      <c r="A590" s="216" t="s">
        <v>641</v>
      </c>
      <c r="B590" s="122" t="s">
        <v>271</v>
      </c>
      <c r="C590" s="122" t="s">
        <v>856</v>
      </c>
      <c r="D590" s="122" t="s">
        <v>256</v>
      </c>
      <c r="E590" s="215">
        <v>33852</v>
      </c>
      <c r="F590" s="122" t="str">
        <f t="shared" si="46"/>
        <v>September</v>
      </c>
      <c r="G590" s="122">
        <f t="shared" ca="1" si="47"/>
        <v>24</v>
      </c>
      <c r="H590" s="122" t="s">
        <v>276</v>
      </c>
      <c r="I590" s="214">
        <v>86240</v>
      </c>
      <c r="J590" s="213">
        <v>1</v>
      </c>
    </row>
    <row r="591" spans="1:10" x14ac:dyDescent="0.25">
      <c r="A591" s="216" t="s">
        <v>334</v>
      </c>
      <c r="B591" s="122" t="s">
        <v>271</v>
      </c>
      <c r="C591" s="122" t="s">
        <v>856</v>
      </c>
      <c r="D591" s="122" t="s">
        <v>247</v>
      </c>
      <c r="E591" s="215">
        <v>35806</v>
      </c>
      <c r="F591" s="122" t="str">
        <f t="shared" si="46"/>
        <v>January</v>
      </c>
      <c r="G591" s="122">
        <f t="shared" ca="1" si="47"/>
        <v>18</v>
      </c>
      <c r="I591" s="214">
        <v>86100</v>
      </c>
      <c r="J591" s="213">
        <v>4</v>
      </c>
    </row>
    <row r="592" spans="1:10" x14ac:dyDescent="0.25">
      <c r="A592" s="216" t="s">
        <v>833</v>
      </c>
      <c r="B592" s="122" t="s">
        <v>285</v>
      </c>
      <c r="C592" s="122" t="s">
        <v>856</v>
      </c>
      <c r="D592" s="122" t="s">
        <v>247</v>
      </c>
      <c r="E592" s="215">
        <v>38793</v>
      </c>
      <c r="F592" s="122" t="str">
        <f t="shared" si="46"/>
        <v>March</v>
      </c>
      <c r="G592" s="122">
        <f t="shared" ca="1" si="47"/>
        <v>10</v>
      </c>
      <c r="I592" s="214">
        <v>85930</v>
      </c>
      <c r="J592" s="213">
        <v>2</v>
      </c>
    </row>
    <row r="593" spans="1:10" x14ac:dyDescent="0.25">
      <c r="A593" s="216" t="s">
        <v>597</v>
      </c>
      <c r="B593" s="122" t="s">
        <v>245</v>
      </c>
      <c r="C593" s="122" t="s">
        <v>856</v>
      </c>
      <c r="D593" s="122" t="s">
        <v>252</v>
      </c>
      <c r="E593" s="215">
        <v>35869</v>
      </c>
      <c r="F593" s="122" t="str">
        <f t="shared" si="46"/>
        <v>March</v>
      </c>
      <c r="G593" s="122">
        <f t="shared" ca="1" si="47"/>
        <v>18</v>
      </c>
      <c r="I593" s="214">
        <v>17912</v>
      </c>
      <c r="J593" s="213">
        <v>5</v>
      </c>
    </row>
    <row r="594" spans="1:10" x14ac:dyDescent="0.25">
      <c r="A594" s="216" t="s">
        <v>590</v>
      </c>
      <c r="B594" s="122" t="s">
        <v>266</v>
      </c>
      <c r="C594" s="122" t="s">
        <v>856</v>
      </c>
      <c r="D594" s="122" t="s">
        <v>256</v>
      </c>
      <c r="E594" s="215">
        <v>36514</v>
      </c>
      <c r="F594" s="122" t="str">
        <f t="shared" si="46"/>
        <v>December</v>
      </c>
      <c r="G594" s="122">
        <f t="shared" ca="1" si="47"/>
        <v>16</v>
      </c>
      <c r="H594" s="122" t="s">
        <v>283</v>
      </c>
      <c r="I594" s="214">
        <v>48250</v>
      </c>
      <c r="J594" s="213">
        <v>3</v>
      </c>
    </row>
    <row r="595" spans="1:10" x14ac:dyDescent="0.25">
      <c r="A595" s="216" t="s">
        <v>1015</v>
      </c>
      <c r="B595" s="122" t="s">
        <v>280</v>
      </c>
      <c r="C595" s="122" t="s">
        <v>856</v>
      </c>
      <c r="D595" s="122" t="s">
        <v>256</v>
      </c>
      <c r="E595" s="215">
        <v>38353</v>
      </c>
      <c r="F595" s="122" t="str">
        <f t="shared" si="46"/>
        <v>January</v>
      </c>
      <c r="G595" s="122">
        <f t="shared" ca="1" si="47"/>
        <v>11</v>
      </c>
      <c r="H595" s="122" t="s">
        <v>283</v>
      </c>
      <c r="I595" s="214">
        <v>83710</v>
      </c>
      <c r="J595" s="213">
        <v>3</v>
      </c>
    </row>
    <row r="596" spans="1:10" x14ac:dyDescent="0.25">
      <c r="A596" s="216" t="s">
        <v>907</v>
      </c>
      <c r="B596" s="122" t="s">
        <v>245</v>
      </c>
      <c r="C596" s="122" t="s">
        <v>856</v>
      </c>
      <c r="D596" s="122" t="s">
        <v>256</v>
      </c>
      <c r="E596" s="215">
        <v>38237</v>
      </c>
      <c r="F596" s="122" t="str">
        <f t="shared" si="46"/>
        <v>September</v>
      </c>
      <c r="G596" s="122">
        <f t="shared" ca="1" si="47"/>
        <v>12</v>
      </c>
      <c r="H596" s="122" t="s">
        <v>283</v>
      </c>
      <c r="I596" s="214">
        <v>31910</v>
      </c>
      <c r="J596" s="213">
        <v>5</v>
      </c>
    </row>
    <row r="597" spans="1:10" x14ac:dyDescent="0.25">
      <c r="A597" s="216" t="s">
        <v>872</v>
      </c>
      <c r="B597" s="122" t="s">
        <v>285</v>
      </c>
      <c r="C597" s="122" t="s">
        <v>856</v>
      </c>
      <c r="D597" s="122" t="s">
        <v>256</v>
      </c>
      <c r="E597" s="215">
        <v>34800</v>
      </c>
      <c r="F597" s="122" t="str">
        <f t="shared" si="46"/>
        <v>April</v>
      </c>
      <c r="G597" s="122">
        <f t="shared" ca="1" si="47"/>
        <v>21</v>
      </c>
      <c r="H597" s="122" t="s">
        <v>262</v>
      </c>
      <c r="I597" s="214">
        <v>82700</v>
      </c>
      <c r="J597" s="213">
        <v>3</v>
      </c>
    </row>
    <row r="598" spans="1:10" x14ac:dyDescent="0.25">
      <c r="A598" s="216" t="s">
        <v>1007</v>
      </c>
      <c r="B598" s="122" t="s">
        <v>266</v>
      </c>
      <c r="C598" s="122" t="s">
        <v>856</v>
      </c>
      <c r="D598" s="122" t="s">
        <v>256</v>
      </c>
      <c r="E598" s="215">
        <v>37625</v>
      </c>
      <c r="F598" s="122" t="str">
        <f t="shared" si="46"/>
        <v>January</v>
      </c>
      <c r="G598" s="122">
        <f t="shared" ca="1" si="47"/>
        <v>13</v>
      </c>
      <c r="H598" s="122" t="s">
        <v>283</v>
      </c>
      <c r="I598" s="214">
        <v>82490</v>
      </c>
      <c r="J598" s="213">
        <v>5</v>
      </c>
    </row>
    <row r="599" spans="1:10" x14ac:dyDescent="0.25">
      <c r="A599" s="216" t="s">
        <v>568</v>
      </c>
      <c r="B599" s="122" t="s">
        <v>271</v>
      </c>
      <c r="C599" s="122" t="s">
        <v>856</v>
      </c>
      <c r="D599" s="122" t="s">
        <v>247</v>
      </c>
      <c r="E599" s="215">
        <v>33421</v>
      </c>
      <c r="F599" s="122" t="str">
        <f t="shared" si="46"/>
        <v>July</v>
      </c>
      <c r="G599" s="122">
        <f t="shared" ca="1" si="47"/>
        <v>25</v>
      </c>
      <c r="I599" s="214">
        <v>46650</v>
      </c>
      <c r="J599" s="213">
        <v>2</v>
      </c>
    </row>
    <row r="600" spans="1:10" x14ac:dyDescent="0.25">
      <c r="A600" s="216" t="s">
        <v>639</v>
      </c>
      <c r="B600" s="122" t="s">
        <v>271</v>
      </c>
      <c r="C600" s="122" t="s">
        <v>856</v>
      </c>
      <c r="D600" s="122" t="s">
        <v>252</v>
      </c>
      <c r="E600" s="215">
        <v>35861</v>
      </c>
      <c r="F600" s="122" t="str">
        <f t="shared" si="46"/>
        <v>March</v>
      </c>
      <c r="G600" s="122">
        <f t="shared" ca="1" si="47"/>
        <v>18</v>
      </c>
      <c r="I600" s="214">
        <v>12836</v>
      </c>
      <c r="J600" s="213">
        <v>5</v>
      </c>
    </row>
    <row r="601" spans="1:10" x14ac:dyDescent="0.25">
      <c r="A601" s="216" t="s">
        <v>306</v>
      </c>
      <c r="B601" s="122" t="s">
        <v>271</v>
      </c>
      <c r="C601" s="122" t="s">
        <v>856</v>
      </c>
      <c r="D601" s="122" t="s">
        <v>252</v>
      </c>
      <c r="E601" s="215">
        <v>34345</v>
      </c>
      <c r="F601" s="122" t="str">
        <f t="shared" si="46"/>
        <v>January</v>
      </c>
      <c r="G601" s="122">
        <f t="shared" ca="1" si="47"/>
        <v>22</v>
      </c>
      <c r="I601" s="214">
        <v>36788</v>
      </c>
      <c r="J601" s="213">
        <v>4</v>
      </c>
    </row>
    <row r="602" spans="1:10" x14ac:dyDescent="0.25">
      <c r="A602" s="216" t="s">
        <v>390</v>
      </c>
      <c r="B602" s="122" t="s">
        <v>285</v>
      </c>
      <c r="C602" s="122" t="s">
        <v>856</v>
      </c>
      <c r="D602" s="122" t="s">
        <v>256</v>
      </c>
      <c r="E602" s="215">
        <v>40581</v>
      </c>
      <c r="F602" s="122" t="str">
        <f t="shared" si="46"/>
        <v>February</v>
      </c>
      <c r="G602" s="122">
        <f t="shared" ca="1" si="47"/>
        <v>5</v>
      </c>
      <c r="H602" s="122" t="s">
        <v>267</v>
      </c>
      <c r="I602" s="214">
        <v>80260</v>
      </c>
      <c r="J602" s="213">
        <v>3</v>
      </c>
    </row>
    <row r="603" spans="1:10" x14ac:dyDescent="0.25">
      <c r="A603" s="216" t="s">
        <v>745</v>
      </c>
      <c r="B603" s="122" t="s">
        <v>280</v>
      </c>
      <c r="C603" s="122" t="s">
        <v>856</v>
      </c>
      <c r="D603" s="122" t="s">
        <v>256</v>
      </c>
      <c r="E603" s="215">
        <v>40078</v>
      </c>
      <c r="F603" s="122" t="str">
        <f t="shared" si="46"/>
        <v>September</v>
      </c>
      <c r="G603" s="122">
        <f t="shared" ca="1" si="47"/>
        <v>7</v>
      </c>
      <c r="H603" s="122" t="s">
        <v>283</v>
      </c>
      <c r="I603" s="214">
        <v>23190</v>
      </c>
      <c r="J603" s="213">
        <v>5</v>
      </c>
    </row>
    <row r="604" spans="1:10" x14ac:dyDescent="0.25">
      <c r="A604" s="216" t="s">
        <v>803</v>
      </c>
      <c r="B604" s="122" t="s">
        <v>271</v>
      </c>
      <c r="C604" s="122" t="s">
        <v>856</v>
      </c>
      <c r="D604" s="122" t="s">
        <v>256</v>
      </c>
      <c r="E604" s="215">
        <v>36078</v>
      </c>
      <c r="F604" s="122" t="str">
        <f t="shared" si="46"/>
        <v>October</v>
      </c>
      <c r="G604" s="122">
        <f t="shared" ca="1" si="47"/>
        <v>18</v>
      </c>
      <c r="H604" s="122" t="s">
        <v>276</v>
      </c>
      <c r="I604" s="214">
        <v>79610</v>
      </c>
      <c r="J604" s="213">
        <v>2</v>
      </c>
    </row>
    <row r="605" spans="1:10" x14ac:dyDescent="0.25">
      <c r="A605" s="216" t="s">
        <v>332</v>
      </c>
      <c r="B605" s="122" t="s">
        <v>266</v>
      </c>
      <c r="C605" s="122" t="s">
        <v>856</v>
      </c>
      <c r="D605" s="122" t="s">
        <v>252</v>
      </c>
      <c r="E605" s="215">
        <v>35034</v>
      </c>
      <c r="F605" s="122" t="str">
        <f t="shared" si="46"/>
        <v>December</v>
      </c>
      <c r="G605" s="122">
        <f t="shared" ca="1" si="47"/>
        <v>20</v>
      </c>
      <c r="I605" s="214">
        <v>23692</v>
      </c>
      <c r="J605" s="213">
        <v>4</v>
      </c>
    </row>
    <row r="606" spans="1:10" x14ac:dyDescent="0.25">
      <c r="A606" s="216" t="s">
        <v>848</v>
      </c>
      <c r="B606" s="122" t="s">
        <v>271</v>
      </c>
      <c r="C606" s="122" t="s">
        <v>856</v>
      </c>
      <c r="D606" s="122" t="s">
        <v>256</v>
      </c>
      <c r="E606" s="215">
        <v>36012</v>
      </c>
      <c r="F606" s="122" t="str">
        <f t="shared" si="46"/>
        <v>August</v>
      </c>
      <c r="G606" s="122">
        <f t="shared" ca="1" si="47"/>
        <v>18</v>
      </c>
      <c r="H606" s="122" t="s">
        <v>262</v>
      </c>
      <c r="I606" s="214">
        <v>78950</v>
      </c>
      <c r="J606" s="213">
        <v>1</v>
      </c>
    </row>
    <row r="607" spans="1:10" x14ac:dyDescent="0.25">
      <c r="A607" s="216" t="s">
        <v>865</v>
      </c>
      <c r="B607" s="122" t="s">
        <v>285</v>
      </c>
      <c r="C607" s="122" t="s">
        <v>856</v>
      </c>
      <c r="D607" s="122" t="s">
        <v>256</v>
      </c>
      <c r="E607" s="215">
        <v>35497</v>
      </c>
      <c r="F607" s="122" t="str">
        <f t="shared" si="46"/>
        <v>March</v>
      </c>
      <c r="G607" s="122">
        <f t="shared" ca="1" si="47"/>
        <v>19</v>
      </c>
      <c r="H607" s="122" t="s">
        <v>257</v>
      </c>
      <c r="I607" s="214">
        <v>78710</v>
      </c>
      <c r="J607" s="213">
        <v>4</v>
      </c>
    </row>
    <row r="608" spans="1:10" x14ac:dyDescent="0.25">
      <c r="A608" s="216" t="s">
        <v>491</v>
      </c>
      <c r="B608" s="122" t="s">
        <v>271</v>
      </c>
      <c r="C608" s="122" t="s">
        <v>856</v>
      </c>
      <c r="D608" s="122" t="s">
        <v>247</v>
      </c>
      <c r="E608" s="215">
        <v>36642</v>
      </c>
      <c r="F608" s="122" t="str">
        <f t="shared" si="46"/>
        <v>April</v>
      </c>
      <c r="G608" s="122">
        <f t="shared" ca="1" si="47"/>
        <v>16</v>
      </c>
      <c r="I608" s="214">
        <v>77760</v>
      </c>
      <c r="J608" s="213">
        <v>3</v>
      </c>
    </row>
    <row r="609" spans="1:10" x14ac:dyDescent="0.25">
      <c r="A609" s="216" t="s">
        <v>348</v>
      </c>
      <c r="B609" s="122" t="s">
        <v>271</v>
      </c>
      <c r="C609" s="122" t="s">
        <v>856</v>
      </c>
      <c r="D609" s="122" t="s">
        <v>261</v>
      </c>
      <c r="E609" s="215">
        <v>35688</v>
      </c>
      <c r="F609" s="122" t="str">
        <f t="shared" si="46"/>
        <v>September</v>
      </c>
      <c r="G609" s="122">
        <f t="shared" ca="1" si="47"/>
        <v>19</v>
      </c>
      <c r="H609" s="122" t="s">
        <v>283</v>
      </c>
      <c r="I609" s="214">
        <v>42740</v>
      </c>
      <c r="J609" s="213">
        <v>2</v>
      </c>
    </row>
    <row r="610" spans="1:10" x14ac:dyDescent="0.25">
      <c r="A610" s="216" t="s">
        <v>512</v>
      </c>
      <c r="B610" s="122" t="s">
        <v>285</v>
      </c>
      <c r="C610" s="122" t="s">
        <v>856</v>
      </c>
      <c r="D610" s="122" t="s">
        <v>256</v>
      </c>
      <c r="E610" s="215">
        <v>36407</v>
      </c>
      <c r="F610" s="122" t="str">
        <f t="shared" si="46"/>
        <v>September</v>
      </c>
      <c r="G610" s="122">
        <f t="shared" ca="1" si="47"/>
        <v>17</v>
      </c>
      <c r="H610" s="122" t="s">
        <v>262</v>
      </c>
      <c r="I610" s="214">
        <v>45880</v>
      </c>
      <c r="J610" s="213">
        <v>5</v>
      </c>
    </row>
    <row r="611" spans="1:10" x14ac:dyDescent="0.25">
      <c r="A611" s="216" t="s">
        <v>945</v>
      </c>
      <c r="B611" s="122" t="s">
        <v>285</v>
      </c>
      <c r="C611" s="122" t="s">
        <v>856</v>
      </c>
      <c r="D611" s="122" t="s">
        <v>256</v>
      </c>
      <c r="E611" s="215">
        <v>36526</v>
      </c>
      <c r="F611" s="122" t="str">
        <f t="shared" si="46"/>
        <v>January</v>
      </c>
      <c r="G611" s="122">
        <f t="shared" ca="1" si="47"/>
        <v>16</v>
      </c>
      <c r="H611" s="122" t="s">
        <v>257</v>
      </c>
      <c r="I611" s="214">
        <v>29260</v>
      </c>
      <c r="J611" s="213">
        <v>4</v>
      </c>
    </row>
    <row r="612" spans="1:10" x14ac:dyDescent="0.25">
      <c r="A612" s="216" t="s">
        <v>943</v>
      </c>
      <c r="B612" s="122" t="s">
        <v>285</v>
      </c>
      <c r="C612" s="122" t="s">
        <v>856</v>
      </c>
      <c r="D612" s="122" t="s">
        <v>256</v>
      </c>
      <c r="E612" s="215">
        <v>39745</v>
      </c>
      <c r="F612" s="122" t="str">
        <f t="shared" si="46"/>
        <v>October</v>
      </c>
      <c r="G612" s="122">
        <f t="shared" ca="1" si="47"/>
        <v>8</v>
      </c>
      <c r="H612" s="122" t="s">
        <v>283</v>
      </c>
      <c r="I612" s="214">
        <v>29330</v>
      </c>
      <c r="J612" s="213">
        <v>5</v>
      </c>
    </row>
    <row r="613" spans="1:10" x14ac:dyDescent="0.25">
      <c r="A613" s="216" t="s">
        <v>835</v>
      </c>
      <c r="B613" s="122" t="s">
        <v>245</v>
      </c>
      <c r="C613" s="122" t="s">
        <v>856</v>
      </c>
      <c r="D613" s="122" t="s">
        <v>252</v>
      </c>
      <c r="E613" s="215">
        <v>33256</v>
      </c>
      <c r="F613" s="122" t="str">
        <f t="shared" si="46"/>
        <v>January</v>
      </c>
      <c r="G613" s="122">
        <f t="shared" ca="1" si="47"/>
        <v>25</v>
      </c>
      <c r="I613" s="214">
        <v>30468</v>
      </c>
      <c r="J613" s="213">
        <v>2</v>
      </c>
    </row>
    <row r="614" spans="1:10" x14ac:dyDescent="0.25">
      <c r="A614" s="216" t="s">
        <v>318</v>
      </c>
      <c r="B614" s="122" t="s">
        <v>285</v>
      </c>
      <c r="C614" s="122" t="s">
        <v>856</v>
      </c>
      <c r="D614" s="122" t="s">
        <v>256</v>
      </c>
      <c r="E614" s="215">
        <v>38902</v>
      </c>
      <c r="F614" s="122" t="str">
        <f t="shared" si="46"/>
        <v>July</v>
      </c>
      <c r="G614" s="122">
        <f t="shared" ca="1" si="47"/>
        <v>10</v>
      </c>
      <c r="H614" s="122" t="s">
        <v>257</v>
      </c>
      <c r="I614" s="214">
        <v>73560</v>
      </c>
      <c r="J614" s="213">
        <v>3</v>
      </c>
    </row>
    <row r="615" spans="1:10" x14ac:dyDescent="0.25">
      <c r="A615" s="216" t="s">
        <v>648</v>
      </c>
      <c r="B615" s="122" t="s">
        <v>271</v>
      </c>
      <c r="C615" s="122" t="s">
        <v>856</v>
      </c>
      <c r="D615" s="122" t="s">
        <v>247</v>
      </c>
      <c r="E615" s="215">
        <v>40350</v>
      </c>
      <c r="F615" s="122" t="str">
        <f t="shared" si="46"/>
        <v>June</v>
      </c>
      <c r="G615" s="122">
        <f t="shared" ca="1" si="47"/>
        <v>6</v>
      </c>
      <c r="I615" s="214">
        <v>21580</v>
      </c>
      <c r="J615" s="213">
        <v>3</v>
      </c>
    </row>
    <row r="616" spans="1:10" x14ac:dyDescent="0.25">
      <c r="A616" s="216" t="s">
        <v>873</v>
      </c>
      <c r="B616" s="122" t="s">
        <v>245</v>
      </c>
      <c r="C616" s="122" t="s">
        <v>856</v>
      </c>
      <c r="D616" s="122" t="s">
        <v>261</v>
      </c>
      <c r="E616" s="215">
        <v>37775</v>
      </c>
      <c r="F616" s="122" t="str">
        <f t="shared" si="46"/>
        <v>June</v>
      </c>
      <c r="G616" s="122">
        <f t="shared" ca="1" si="47"/>
        <v>13</v>
      </c>
      <c r="H616" s="122" t="s">
        <v>262</v>
      </c>
      <c r="I616" s="214">
        <v>28525</v>
      </c>
      <c r="J616" s="213">
        <v>4</v>
      </c>
    </row>
    <row r="617" spans="1:10" x14ac:dyDescent="0.25">
      <c r="A617" s="216" t="s">
        <v>853</v>
      </c>
      <c r="B617" s="122" t="s">
        <v>245</v>
      </c>
      <c r="C617" s="122" t="s">
        <v>856</v>
      </c>
      <c r="D617" s="122" t="s">
        <v>256</v>
      </c>
      <c r="E617" s="215">
        <v>39815</v>
      </c>
      <c r="F617" s="122" t="str">
        <f t="shared" si="46"/>
        <v>January</v>
      </c>
      <c r="G617" s="122">
        <f t="shared" ca="1" si="47"/>
        <v>7</v>
      </c>
      <c r="H617" s="122" t="s">
        <v>283</v>
      </c>
      <c r="I617" s="214">
        <v>72060</v>
      </c>
      <c r="J617" s="213">
        <v>2</v>
      </c>
    </row>
    <row r="618" spans="1:10" x14ac:dyDescent="0.25">
      <c r="A618" s="216" t="s">
        <v>704</v>
      </c>
      <c r="B618" s="122" t="s">
        <v>271</v>
      </c>
      <c r="C618" s="122" t="s">
        <v>856</v>
      </c>
      <c r="D618" s="122" t="s">
        <v>252</v>
      </c>
      <c r="E618" s="215">
        <v>35402</v>
      </c>
      <c r="F618" s="122" t="str">
        <f t="shared" ref="F618:F649" si="48">CHOOSE(MONTH(E618),"January","February","March","April","May","June","July","August","September","October","November","December")</f>
        <v>December</v>
      </c>
      <c r="G618" s="122">
        <f t="shared" ref="G618:G649" ca="1" si="49">DATEDIF(E618,TODAY(),"Y")</f>
        <v>19</v>
      </c>
      <c r="I618" s="214">
        <v>33508</v>
      </c>
      <c r="J618" s="213">
        <v>4</v>
      </c>
    </row>
    <row r="619" spans="1:10" x14ac:dyDescent="0.25">
      <c r="A619" s="216" t="s">
        <v>288</v>
      </c>
      <c r="B619" s="122" t="s">
        <v>285</v>
      </c>
      <c r="C619" s="122" t="s">
        <v>856</v>
      </c>
      <c r="D619" s="122" t="s">
        <v>247</v>
      </c>
      <c r="E619" s="215">
        <v>39720</v>
      </c>
      <c r="F619" s="122" t="str">
        <f t="shared" si="48"/>
        <v>September</v>
      </c>
      <c r="G619" s="122">
        <f t="shared" ca="1" si="49"/>
        <v>8</v>
      </c>
      <c r="I619" s="214">
        <v>43320</v>
      </c>
      <c r="J619" s="213">
        <v>5</v>
      </c>
    </row>
    <row r="620" spans="1:10" x14ac:dyDescent="0.25">
      <c r="A620" s="216" t="s">
        <v>1020</v>
      </c>
      <c r="B620" s="122" t="s">
        <v>271</v>
      </c>
      <c r="C620" s="122" t="s">
        <v>856</v>
      </c>
      <c r="D620" s="122" t="s">
        <v>261</v>
      </c>
      <c r="E620" s="215">
        <v>36531</v>
      </c>
      <c r="F620" s="122" t="str">
        <f t="shared" si="48"/>
        <v>January</v>
      </c>
      <c r="G620" s="122">
        <f t="shared" ca="1" si="49"/>
        <v>16</v>
      </c>
      <c r="H620" s="122" t="s">
        <v>267</v>
      </c>
      <c r="I620" s="214">
        <v>20990</v>
      </c>
      <c r="J620" s="213">
        <v>4</v>
      </c>
    </row>
    <row r="621" spans="1:10" x14ac:dyDescent="0.25">
      <c r="A621" s="216" t="s">
        <v>359</v>
      </c>
      <c r="B621" s="122" t="s">
        <v>280</v>
      </c>
      <c r="C621" s="122" t="s">
        <v>856</v>
      </c>
      <c r="D621" s="122" t="s">
        <v>261</v>
      </c>
      <c r="E621" s="215">
        <v>37815</v>
      </c>
      <c r="F621" s="122" t="str">
        <f t="shared" si="48"/>
        <v>July</v>
      </c>
      <c r="G621" s="122">
        <f t="shared" ca="1" si="49"/>
        <v>13</v>
      </c>
      <c r="H621" s="122" t="s">
        <v>257</v>
      </c>
      <c r="I621" s="214">
        <v>48740</v>
      </c>
      <c r="J621" s="213">
        <v>1</v>
      </c>
    </row>
    <row r="622" spans="1:10" x14ac:dyDescent="0.25">
      <c r="A622" s="216" t="s">
        <v>420</v>
      </c>
      <c r="B622" s="122" t="s">
        <v>280</v>
      </c>
      <c r="C622" s="122" t="s">
        <v>856</v>
      </c>
      <c r="D622" s="122" t="s">
        <v>256</v>
      </c>
      <c r="E622" s="215">
        <v>35715</v>
      </c>
      <c r="F622" s="122" t="str">
        <f t="shared" si="48"/>
        <v>October</v>
      </c>
      <c r="G622" s="122">
        <f t="shared" ca="1" si="49"/>
        <v>19</v>
      </c>
      <c r="H622" s="122" t="s">
        <v>283</v>
      </c>
      <c r="I622" s="214">
        <v>32120</v>
      </c>
      <c r="J622" s="213">
        <v>1</v>
      </c>
    </row>
    <row r="623" spans="1:10" x14ac:dyDescent="0.25">
      <c r="A623" s="216" t="s">
        <v>896</v>
      </c>
      <c r="B623" s="122" t="s">
        <v>251</v>
      </c>
      <c r="C623" s="122" t="s">
        <v>856</v>
      </c>
      <c r="D623" s="122" t="s">
        <v>256</v>
      </c>
      <c r="E623" s="215">
        <v>34021</v>
      </c>
      <c r="F623" s="122" t="str">
        <f t="shared" si="48"/>
        <v>February</v>
      </c>
      <c r="G623" s="122">
        <f t="shared" ca="1" si="49"/>
        <v>23</v>
      </c>
      <c r="H623" s="122" t="s">
        <v>283</v>
      </c>
      <c r="I623" s="214">
        <v>45110</v>
      </c>
      <c r="J623" s="213">
        <v>2</v>
      </c>
    </row>
    <row r="624" spans="1:10" x14ac:dyDescent="0.25">
      <c r="A624" s="216" t="s">
        <v>1034</v>
      </c>
      <c r="B624" s="122" t="s">
        <v>245</v>
      </c>
      <c r="C624" s="122" t="s">
        <v>856</v>
      </c>
      <c r="D624" s="122" t="s">
        <v>256</v>
      </c>
      <c r="E624" s="215">
        <v>36290</v>
      </c>
      <c r="F624" s="122" t="str">
        <f t="shared" si="48"/>
        <v>May</v>
      </c>
      <c r="G624" s="122">
        <f t="shared" ca="1" si="49"/>
        <v>17</v>
      </c>
      <c r="H624" s="122" t="s">
        <v>283</v>
      </c>
      <c r="I624" s="214">
        <v>39000</v>
      </c>
      <c r="J624" s="213">
        <v>3</v>
      </c>
    </row>
    <row r="625" spans="1:10" x14ac:dyDescent="0.25">
      <c r="A625" s="216" t="s">
        <v>278</v>
      </c>
      <c r="B625" s="122" t="s">
        <v>285</v>
      </c>
      <c r="C625" s="122" t="s">
        <v>856</v>
      </c>
      <c r="D625" s="122" t="s">
        <v>256</v>
      </c>
      <c r="E625" s="215">
        <v>35896</v>
      </c>
      <c r="F625" s="122" t="str">
        <f t="shared" si="48"/>
        <v>April</v>
      </c>
      <c r="G625" s="122">
        <f t="shared" ca="1" si="49"/>
        <v>18</v>
      </c>
      <c r="H625" s="122" t="s">
        <v>283</v>
      </c>
      <c r="I625" s="214">
        <v>70280</v>
      </c>
      <c r="J625" s="213">
        <v>3</v>
      </c>
    </row>
    <row r="626" spans="1:10" x14ac:dyDescent="0.25">
      <c r="A626" s="216" t="s">
        <v>788</v>
      </c>
      <c r="B626" s="122" t="s">
        <v>245</v>
      </c>
      <c r="C626" s="122" t="s">
        <v>856</v>
      </c>
      <c r="D626" s="122" t="s">
        <v>256</v>
      </c>
      <c r="E626" s="215">
        <v>39153</v>
      </c>
      <c r="F626" s="122" t="str">
        <f t="shared" si="48"/>
        <v>March</v>
      </c>
      <c r="G626" s="122">
        <f t="shared" ca="1" si="49"/>
        <v>9</v>
      </c>
      <c r="H626" s="122" t="s">
        <v>283</v>
      </c>
      <c r="I626" s="214">
        <v>43600</v>
      </c>
      <c r="J626" s="213">
        <v>5</v>
      </c>
    </row>
    <row r="627" spans="1:10" x14ac:dyDescent="0.25">
      <c r="A627" s="216" t="s">
        <v>978</v>
      </c>
      <c r="B627" s="122" t="s">
        <v>285</v>
      </c>
      <c r="C627" s="122" t="s">
        <v>856</v>
      </c>
      <c r="D627" s="122" t="s">
        <v>256</v>
      </c>
      <c r="E627" s="215">
        <v>36312</v>
      </c>
      <c r="F627" s="122" t="str">
        <f t="shared" si="48"/>
        <v>June</v>
      </c>
      <c r="G627" s="122">
        <f t="shared" ca="1" si="49"/>
        <v>17</v>
      </c>
      <c r="H627" s="122" t="s">
        <v>257</v>
      </c>
      <c r="I627" s="214">
        <v>69200</v>
      </c>
      <c r="J627" s="213">
        <v>4</v>
      </c>
    </row>
    <row r="628" spans="1:10" x14ac:dyDescent="0.25">
      <c r="A628" s="216" t="s">
        <v>595</v>
      </c>
      <c r="B628" s="122" t="s">
        <v>285</v>
      </c>
      <c r="C628" s="122" t="s">
        <v>856</v>
      </c>
      <c r="D628" s="122" t="s">
        <v>256</v>
      </c>
      <c r="E628" s="215">
        <v>33711</v>
      </c>
      <c r="F628" s="122" t="str">
        <f t="shared" si="48"/>
        <v>April</v>
      </c>
      <c r="G628" s="122">
        <f t="shared" ca="1" si="49"/>
        <v>24</v>
      </c>
      <c r="H628" s="122" t="s">
        <v>257</v>
      </c>
      <c r="I628" s="214">
        <v>68470</v>
      </c>
      <c r="J628" s="213">
        <v>4</v>
      </c>
    </row>
    <row r="629" spans="1:10" x14ac:dyDescent="0.25">
      <c r="A629" s="216" t="s">
        <v>444</v>
      </c>
      <c r="B629" s="122" t="s">
        <v>280</v>
      </c>
      <c r="C629" s="122" t="s">
        <v>856</v>
      </c>
      <c r="D629" s="122" t="s">
        <v>256</v>
      </c>
      <c r="E629" s="215">
        <v>37793</v>
      </c>
      <c r="F629" s="122" t="str">
        <f t="shared" si="48"/>
        <v>June</v>
      </c>
      <c r="G629" s="122">
        <f t="shared" ca="1" si="49"/>
        <v>13</v>
      </c>
      <c r="H629" s="122" t="s">
        <v>257</v>
      </c>
      <c r="I629" s="214">
        <v>29210</v>
      </c>
      <c r="J629" s="213">
        <v>5</v>
      </c>
    </row>
    <row r="630" spans="1:10" x14ac:dyDescent="0.25">
      <c r="A630" s="216" t="s">
        <v>1035</v>
      </c>
      <c r="B630" s="122" t="s">
        <v>251</v>
      </c>
      <c r="C630" s="122" t="s">
        <v>856</v>
      </c>
      <c r="D630" s="122" t="s">
        <v>256</v>
      </c>
      <c r="E630" s="215">
        <v>33454</v>
      </c>
      <c r="F630" s="122" t="str">
        <f t="shared" si="48"/>
        <v>August</v>
      </c>
      <c r="G630" s="122">
        <f t="shared" ca="1" si="49"/>
        <v>25</v>
      </c>
      <c r="H630" s="122" t="s">
        <v>257</v>
      </c>
      <c r="I630" s="214">
        <v>67920</v>
      </c>
      <c r="J630" s="213">
        <v>4</v>
      </c>
    </row>
    <row r="631" spans="1:10" x14ac:dyDescent="0.25">
      <c r="A631" s="216" t="s">
        <v>469</v>
      </c>
      <c r="B631" s="122" t="s">
        <v>245</v>
      </c>
      <c r="C631" s="122" t="s">
        <v>856</v>
      </c>
      <c r="D631" s="122" t="s">
        <v>256</v>
      </c>
      <c r="E631" s="215">
        <v>36081</v>
      </c>
      <c r="F631" s="122" t="str">
        <f t="shared" si="48"/>
        <v>October</v>
      </c>
      <c r="G631" s="122">
        <f t="shared" ca="1" si="49"/>
        <v>18</v>
      </c>
      <c r="H631" s="122" t="s">
        <v>283</v>
      </c>
      <c r="I631" s="214">
        <v>67407</v>
      </c>
      <c r="J631" s="213">
        <v>5</v>
      </c>
    </row>
    <row r="632" spans="1:10" x14ac:dyDescent="0.25">
      <c r="A632" s="216" t="s">
        <v>1017</v>
      </c>
      <c r="B632" s="122" t="s">
        <v>245</v>
      </c>
      <c r="C632" s="122" t="s">
        <v>856</v>
      </c>
      <c r="D632" s="122" t="s">
        <v>256</v>
      </c>
      <c r="E632" s="215">
        <v>36360</v>
      </c>
      <c r="F632" s="122" t="str">
        <f t="shared" si="48"/>
        <v>July</v>
      </c>
      <c r="G632" s="122">
        <f t="shared" ca="1" si="49"/>
        <v>17</v>
      </c>
      <c r="H632" s="122" t="s">
        <v>283</v>
      </c>
      <c r="I632" s="214">
        <v>67020</v>
      </c>
      <c r="J632" s="213">
        <v>1</v>
      </c>
    </row>
    <row r="633" spans="1:10" x14ac:dyDescent="0.25">
      <c r="A633" s="216" t="s">
        <v>918</v>
      </c>
      <c r="B633" s="122" t="s">
        <v>266</v>
      </c>
      <c r="C633" s="122" t="s">
        <v>856</v>
      </c>
      <c r="D633" s="122" t="s">
        <v>252</v>
      </c>
      <c r="E633" s="215">
        <v>36557</v>
      </c>
      <c r="F633" s="122" t="str">
        <f t="shared" si="48"/>
        <v>February</v>
      </c>
      <c r="G633" s="122">
        <f t="shared" ca="1" si="49"/>
        <v>16</v>
      </c>
      <c r="I633" s="214">
        <v>15552</v>
      </c>
      <c r="J633" s="213">
        <v>4</v>
      </c>
    </row>
    <row r="634" spans="1:10" x14ac:dyDescent="0.25">
      <c r="A634" s="216" t="s">
        <v>605</v>
      </c>
      <c r="B634" s="122" t="s">
        <v>271</v>
      </c>
      <c r="C634" s="122" t="s">
        <v>856</v>
      </c>
      <c r="D634" s="122" t="s">
        <v>256</v>
      </c>
      <c r="E634" s="215">
        <v>34028</v>
      </c>
      <c r="F634" s="122" t="str">
        <f t="shared" si="48"/>
        <v>February</v>
      </c>
      <c r="G634" s="122">
        <f t="shared" ca="1" si="49"/>
        <v>23</v>
      </c>
      <c r="H634" s="122" t="s">
        <v>283</v>
      </c>
      <c r="I634" s="214">
        <v>66824</v>
      </c>
      <c r="J634" s="213">
        <v>2</v>
      </c>
    </row>
    <row r="635" spans="1:10" x14ac:dyDescent="0.25">
      <c r="A635" s="216" t="s">
        <v>523</v>
      </c>
      <c r="B635" s="122" t="s">
        <v>271</v>
      </c>
      <c r="C635" s="122" t="s">
        <v>856</v>
      </c>
      <c r="D635" s="122" t="s">
        <v>256</v>
      </c>
      <c r="E635" s="215">
        <v>35373</v>
      </c>
      <c r="F635" s="122" t="str">
        <f t="shared" si="48"/>
        <v>November</v>
      </c>
      <c r="G635" s="122">
        <f t="shared" ca="1" si="49"/>
        <v>20</v>
      </c>
      <c r="H635" s="122" t="s">
        <v>283</v>
      </c>
      <c r="I635" s="214">
        <v>66440</v>
      </c>
      <c r="J635" s="213">
        <v>3</v>
      </c>
    </row>
    <row r="636" spans="1:10" x14ac:dyDescent="0.25">
      <c r="A636" s="216" t="s">
        <v>1033</v>
      </c>
      <c r="B636" s="122" t="s">
        <v>285</v>
      </c>
      <c r="C636" s="122" t="s">
        <v>856</v>
      </c>
      <c r="D636" s="122" t="s">
        <v>256</v>
      </c>
      <c r="E636" s="215">
        <v>33685</v>
      </c>
      <c r="F636" s="122" t="str">
        <f t="shared" si="48"/>
        <v>March</v>
      </c>
      <c r="G636" s="122">
        <f t="shared" ca="1" si="49"/>
        <v>24</v>
      </c>
      <c r="H636" s="122" t="s">
        <v>257</v>
      </c>
      <c r="I636" s="214">
        <v>65571</v>
      </c>
      <c r="J636" s="213">
        <v>3</v>
      </c>
    </row>
    <row r="637" spans="1:10" x14ac:dyDescent="0.25">
      <c r="A637" s="216" t="s">
        <v>499</v>
      </c>
      <c r="B637" s="122" t="s">
        <v>251</v>
      </c>
      <c r="C637" s="122" t="s">
        <v>856</v>
      </c>
      <c r="D637" s="122" t="s">
        <v>247</v>
      </c>
      <c r="E637" s="215">
        <v>38027</v>
      </c>
      <c r="F637" s="122" t="str">
        <f t="shared" si="48"/>
        <v>February</v>
      </c>
      <c r="G637" s="122">
        <f t="shared" ca="1" si="49"/>
        <v>12</v>
      </c>
      <c r="I637" s="214">
        <v>64590</v>
      </c>
      <c r="J637" s="213">
        <v>1</v>
      </c>
    </row>
    <row r="638" spans="1:10" x14ac:dyDescent="0.25">
      <c r="A638" s="216" t="s">
        <v>438</v>
      </c>
      <c r="B638" s="122" t="s">
        <v>285</v>
      </c>
      <c r="C638" s="122" t="s">
        <v>856</v>
      </c>
      <c r="D638" s="122" t="s">
        <v>256</v>
      </c>
      <c r="E638" s="215">
        <v>33269</v>
      </c>
      <c r="F638" s="122" t="str">
        <f t="shared" si="48"/>
        <v>January</v>
      </c>
      <c r="G638" s="122">
        <f t="shared" ca="1" si="49"/>
        <v>25</v>
      </c>
      <c r="H638" s="122" t="s">
        <v>283</v>
      </c>
      <c r="I638" s="214">
        <v>24840</v>
      </c>
      <c r="J638" s="213">
        <v>1</v>
      </c>
    </row>
    <row r="639" spans="1:10" x14ac:dyDescent="0.25">
      <c r="A639" s="216" t="s">
        <v>454</v>
      </c>
      <c r="B639" s="122" t="s">
        <v>271</v>
      </c>
      <c r="C639" s="122" t="s">
        <v>856</v>
      </c>
      <c r="D639" s="122" t="s">
        <v>256</v>
      </c>
      <c r="E639" s="215">
        <v>34285</v>
      </c>
      <c r="F639" s="122" t="str">
        <f t="shared" si="48"/>
        <v>November</v>
      </c>
      <c r="G639" s="122">
        <f t="shared" ca="1" si="49"/>
        <v>23</v>
      </c>
      <c r="H639" s="122" t="s">
        <v>267</v>
      </c>
      <c r="I639" s="214">
        <v>48490</v>
      </c>
      <c r="J639" s="213">
        <v>2</v>
      </c>
    </row>
    <row r="640" spans="1:10" x14ac:dyDescent="0.25">
      <c r="A640" s="216" t="s">
        <v>457</v>
      </c>
      <c r="B640" s="122" t="s">
        <v>266</v>
      </c>
      <c r="C640" s="122" t="s">
        <v>856</v>
      </c>
      <c r="D640" s="122" t="s">
        <v>256</v>
      </c>
      <c r="E640" s="215">
        <v>33548</v>
      </c>
      <c r="F640" s="122" t="str">
        <f t="shared" si="48"/>
        <v>November</v>
      </c>
      <c r="G640" s="122">
        <f t="shared" ca="1" si="49"/>
        <v>25</v>
      </c>
      <c r="H640" s="122" t="s">
        <v>283</v>
      </c>
      <c r="I640" s="214">
        <v>63050</v>
      </c>
      <c r="J640" s="213">
        <v>3</v>
      </c>
    </row>
    <row r="641" spans="1:10" x14ac:dyDescent="0.25">
      <c r="A641" s="216" t="s">
        <v>949</v>
      </c>
      <c r="B641" s="122" t="s">
        <v>271</v>
      </c>
      <c r="C641" s="122" t="s">
        <v>856</v>
      </c>
      <c r="D641" s="122" t="s">
        <v>256</v>
      </c>
      <c r="E641" s="215">
        <v>35356</v>
      </c>
      <c r="F641" s="122" t="str">
        <f t="shared" si="48"/>
        <v>October</v>
      </c>
      <c r="G641" s="122">
        <f t="shared" ca="1" si="49"/>
        <v>20</v>
      </c>
      <c r="H641" s="122" t="s">
        <v>262</v>
      </c>
      <c r="I641" s="214">
        <v>63030</v>
      </c>
      <c r="J641" s="213">
        <v>1</v>
      </c>
    </row>
    <row r="642" spans="1:10" x14ac:dyDescent="0.25">
      <c r="A642" s="216" t="s">
        <v>971</v>
      </c>
      <c r="B642" s="122" t="s">
        <v>245</v>
      </c>
      <c r="C642" s="122" t="s">
        <v>856</v>
      </c>
      <c r="D642" s="122" t="s">
        <v>256</v>
      </c>
      <c r="E642" s="215">
        <v>35451</v>
      </c>
      <c r="F642" s="122" t="str">
        <f t="shared" si="48"/>
        <v>January</v>
      </c>
      <c r="G642" s="122">
        <f t="shared" ca="1" si="49"/>
        <v>19</v>
      </c>
      <c r="H642" s="122" t="s">
        <v>276</v>
      </c>
      <c r="I642" s="214">
        <v>62965</v>
      </c>
      <c r="J642" s="213">
        <v>1</v>
      </c>
    </row>
    <row r="643" spans="1:10" x14ac:dyDescent="0.25">
      <c r="A643" s="216" t="s">
        <v>360</v>
      </c>
      <c r="B643" s="122" t="s">
        <v>271</v>
      </c>
      <c r="C643" s="122" t="s">
        <v>856</v>
      </c>
      <c r="D643" s="122" t="s">
        <v>252</v>
      </c>
      <c r="E643" s="215">
        <v>34180</v>
      </c>
      <c r="F643" s="122" t="str">
        <f t="shared" si="48"/>
        <v>July</v>
      </c>
      <c r="G643" s="122">
        <f t="shared" ca="1" si="49"/>
        <v>23</v>
      </c>
      <c r="I643" s="214">
        <v>26484</v>
      </c>
      <c r="J643" s="213">
        <v>5</v>
      </c>
    </row>
    <row r="644" spans="1:10" x14ac:dyDescent="0.25">
      <c r="A644" s="216" t="s">
        <v>386</v>
      </c>
      <c r="B644" s="122" t="s">
        <v>271</v>
      </c>
      <c r="C644" s="122" t="s">
        <v>856</v>
      </c>
      <c r="D644" s="122" t="s">
        <v>247</v>
      </c>
      <c r="E644" s="215">
        <v>36406</v>
      </c>
      <c r="F644" s="122" t="str">
        <f t="shared" si="48"/>
        <v>September</v>
      </c>
      <c r="G644" s="122">
        <f t="shared" ca="1" si="49"/>
        <v>17</v>
      </c>
      <c r="I644" s="214">
        <v>60800</v>
      </c>
      <c r="J644" s="213">
        <v>4</v>
      </c>
    </row>
    <row r="645" spans="1:10" x14ac:dyDescent="0.25">
      <c r="A645" s="216" t="s">
        <v>994</v>
      </c>
      <c r="B645" s="122" t="s">
        <v>280</v>
      </c>
      <c r="C645" s="122" t="s">
        <v>856</v>
      </c>
      <c r="D645" s="122" t="s">
        <v>261</v>
      </c>
      <c r="E645" s="215">
        <v>35842</v>
      </c>
      <c r="F645" s="122" t="str">
        <f t="shared" si="48"/>
        <v>February</v>
      </c>
      <c r="G645" s="122">
        <f t="shared" ca="1" si="49"/>
        <v>18</v>
      </c>
      <c r="H645" s="122" t="s">
        <v>267</v>
      </c>
      <c r="I645" s="214">
        <v>39530</v>
      </c>
      <c r="J645" s="213">
        <v>5</v>
      </c>
    </row>
    <row r="646" spans="1:10" x14ac:dyDescent="0.25">
      <c r="A646" s="216" t="s">
        <v>666</v>
      </c>
      <c r="B646" s="122" t="s">
        <v>245</v>
      </c>
      <c r="C646" s="122" t="s">
        <v>856</v>
      </c>
      <c r="D646" s="122" t="s">
        <v>247</v>
      </c>
      <c r="E646" s="215">
        <v>36070</v>
      </c>
      <c r="F646" s="122" t="str">
        <f t="shared" si="48"/>
        <v>October</v>
      </c>
      <c r="G646" s="122">
        <f t="shared" ca="1" si="49"/>
        <v>18</v>
      </c>
      <c r="I646" s="214">
        <v>59050</v>
      </c>
      <c r="J646" s="213">
        <v>4</v>
      </c>
    </row>
    <row r="647" spans="1:10" x14ac:dyDescent="0.25">
      <c r="A647" s="216" t="s">
        <v>356</v>
      </c>
      <c r="B647" s="122" t="s">
        <v>285</v>
      </c>
      <c r="C647" s="122" t="s">
        <v>856</v>
      </c>
      <c r="D647" s="122" t="s">
        <v>256</v>
      </c>
      <c r="E647" s="215">
        <v>36245</v>
      </c>
      <c r="F647" s="122" t="str">
        <f t="shared" si="48"/>
        <v>March</v>
      </c>
      <c r="G647" s="122">
        <f t="shared" ca="1" si="49"/>
        <v>17</v>
      </c>
      <c r="H647" s="122" t="s">
        <v>257</v>
      </c>
      <c r="I647" s="214">
        <v>58410</v>
      </c>
      <c r="J647" s="213">
        <v>5</v>
      </c>
    </row>
    <row r="648" spans="1:10" x14ac:dyDescent="0.25">
      <c r="A648" s="216" t="s">
        <v>694</v>
      </c>
      <c r="B648" s="122" t="s">
        <v>285</v>
      </c>
      <c r="C648" s="122" t="s">
        <v>856</v>
      </c>
      <c r="D648" s="122" t="s">
        <v>256</v>
      </c>
      <c r="E648" s="215">
        <v>35569</v>
      </c>
      <c r="F648" s="122" t="str">
        <f t="shared" si="48"/>
        <v>May</v>
      </c>
      <c r="G648" s="122">
        <f t="shared" ca="1" si="49"/>
        <v>19</v>
      </c>
      <c r="H648" s="122" t="s">
        <v>283</v>
      </c>
      <c r="I648" s="214">
        <v>37770</v>
      </c>
      <c r="J648" s="213">
        <v>5</v>
      </c>
    </row>
    <row r="649" spans="1:10" x14ac:dyDescent="0.25">
      <c r="A649" s="216" t="s">
        <v>847</v>
      </c>
      <c r="B649" s="122" t="s">
        <v>251</v>
      </c>
      <c r="C649" s="122" t="s">
        <v>856</v>
      </c>
      <c r="D649" s="122" t="s">
        <v>247</v>
      </c>
      <c r="E649" s="215">
        <v>37082</v>
      </c>
      <c r="F649" s="122" t="str">
        <f t="shared" si="48"/>
        <v>July</v>
      </c>
      <c r="G649" s="122">
        <f t="shared" ca="1" si="49"/>
        <v>15</v>
      </c>
      <c r="I649" s="214">
        <v>46780</v>
      </c>
      <c r="J649" s="213">
        <v>2</v>
      </c>
    </row>
    <row r="650" spans="1:10" x14ac:dyDescent="0.25">
      <c r="A650" s="216" t="s">
        <v>838</v>
      </c>
      <c r="B650" s="122" t="s">
        <v>285</v>
      </c>
      <c r="C650" s="122" t="s">
        <v>856</v>
      </c>
      <c r="D650" s="122" t="s">
        <v>247</v>
      </c>
      <c r="E650" s="215">
        <v>33914</v>
      </c>
      <c r="F650" s="122" t="str">
        <f t="shared" ref="F650:F658" si="50">CHOOSE(MONTH(E650),"January","February","March","April","May","June","July","August","September","October","November","December")</f>
        <v>November</v>
      </c>
      <c r="G650" s="122">
        <f t="shared" ref="G650:G658" ca="1" si="51">DATEDIF(E650,TODAY(),"Y")</f>
        <v>24</v>
      </c>
      <c r="I650" s="214">
        <v>55690</v>
      </c>
      <c r="J650" s="213">
        <v>2</v>
      </c>
    </row>
    <row r="651" spans="1:10" x14ac:dyDescent="0.25">
      <c r="A651" s="216" t="s">
        <v>282</v>
      </c>
      <c r="B651" s="122" t="s">
        <v>285</v>
      </c>
      <c r="C651" s="122" t="s">
        <v>856</v>
      </c>
      <c r="D651" s="122" t="s">
        <v>261</v>
      </c>
      <c r="E651" s="215">
        <v>36423</v>
      </c>
      <c r="F651" s="122" t="str">
        <f t="shared" si="50"/>
        <v>September</v>
      </c>
      <c r="G651" s="122">
        <f t="shared" ca="1" si="51"/>
        <v>17</v>
      </c>
      <c r="H651" s="122" t="s">
        <v>276</v>
      </c>
      <c r="I651" s="214">
        <v>47350</v>
      </c>
      <c r="J651" s="213">
        <v>1</v>
      </c>
    </row>
    <row r="652" spans="1:10" x14ac:dyDescent="0.25">
      <c r="A652" s="216" t="s">
        <v>621</v>
      </c>
      <c r="B652" s="122" t="s">
        <v>285</v>
      </c>
      <c r="C652" s="122" t="s">
        <v>856</v>
      </c>
      <c r="D652" s="122" t="s">
        <v>247</v>
      </c>
      <c r="E652" s="215">
        <v>36479</v>
      </c>
      <c r="F652" s="122" t="str">
        <f t="shared" si="50"/>
        <v>November</v>
      </c>
      <c r="G652" s="122">
        <f t="shared" ca="1" si="51"/>
        <v>17</v>
      </c>
      <c r="I652" s="214">
        <v>54840</v>
      </c>
      <c r="J652" s="213">
        <v>4</v>
      </c>
    </row>
    <row r="653" spans="1:10" x14ac:dyDescent="0.25">
      <c r="A653" s="216" t="s">
        <v>867</v>
      </c>
      <c r="B653" s="122" t="s">
        <v>285</v>
      </c>
      <c r="C653" s="122" t="s">
        <v>856</v>
      </c>
      <c r="D653" s="122" t="s">
        <v>256</v>
      </c>
      <c r="E653" s="215">
        <v>33604</v>
      </c>
      <c r="F653" s="122" t="str">
        <f t="shared" si="50"/>
        <v>January</v>
      </c>
      <c r="G653" s="122">
        <f t="shared" ca="1" si="51"/>
        <v>24</v>
      </c>
      <c r="H653" s="122" t="s">
        <v>257</v>
      </c>
      <c r="I653" s="214">
        <v>54830</v>
      </c>
      <c r="J653" s="213">
        <v>1</v>
      </c>
    </row>
    <row r="654" spans="1:10" x14ac:dyDescent="0.25">
      <c r="A654" s="216" t="s">
        <v>660</v>
      </c>
      <c r="B654" s="122" t="s">
        <v>245</v>
      </c>
      <c r="C654" s="122" t="s">
        <v>856</v>
      </c>
      <c r="D654" s="122" t="s">
        <v>256</v>
      </c>
      <c r="E654" s="215">
        <v>34010</v>
      </c>
      <c r="F654" s="122" t="str">
        <f t="shared" si="50"/>
        <v>February</v>
      </c>
      <c r="G654" s="122">
        <f t="shared" ca="1" si="51"/>
        <v>23</v>
      </c>
      <c r="H654" s="122" t="s">
        <v>257</v>
      </c>
      <c r="I654" s="214">
        <v>54270</v>
      </c>
      <c r="J654" s="213">
        <v>3</v>
      </c>
    </row>
    <row r="655" spans="1:10" x14ac:dyDescent="0.25">
      <c r="A655" s="216" t="s">
        <v>1016</v>
      </c>
      <c r="B655" s="122" t="s">
        <v>285</v>
      </c>
      <c r="C655" s="122" t="s">
        <v>856</v>
      </c>
      <c r="D655" s="122" t="s">
        <v>256</v>
      </c>
      <c r="E655" s="215">
        <v>34160</v>
      </c>
      <c r="F655" s="122" t="str">
        <f t="shared" si="50"/>
        <v>July</v>
      </c>
      <c r="G655" s="122">
        <f t="shared" ca="1" si="51"/>
        <v>23</v>
      </c>
      <c r="H655" s="122" t="s">
        <v>257</v>
      </c>
      <c r="I655" s="214">
        <v>54200</v>
      </c>
      <c r="J655" s="213">
        <v>4</v>
      </c>
    </row>
    <row r="656" spans="1:10" x14ac:dyDescent="0.25">
      <c r="A656" s="216" t="s">
        <v>759</v>
      </c>
      <c r="B656" s="122" t="s">
        <v>285</v>
      </c>
      <c r="C656" s="122" t="s">
        <v>856</v>
      </c>
      <c r="D656" s="122" t="s">
        <v>256</v>
      </c>
      <c r="E656" s="215">
        <v>33222</v>
      </c>
      <c r="F656" s="122" t="str">
        <f t="shared" si="50"/>
        <v>December</v>
      </c>
      <c r="G656" s="122">
        <f t="shared" ca="1" si="51"/>
        <v>25</v>
      </c>
      <c r="H656" s="122" t="s">
        <v>257</v>
      </c>
      <c r="I656" s="214">
        <v>53900</v>
      </c>
      <c r="J656" s="213">
        <v>5</v>
      </c>
    </row>
    <row r="657" spans="1:10" x14ac:dyDescent="0.25">
      <c r="A657" s="216" t="s">
        <v>758</v>
      </c>
      <c r="B657" s="122" t="s">
        <v>285</v>
      </c>
      <c r="C657" s="122" t="s">
        <v>856</v>
      </c>
      <c r="D657" s="122" t="s">
        <v>247</v>
      </c>
      <c r="E657" s="215">
        <v>36214</v>
      </c>
      <c r="F657" s="122" t="str">
        <f t="shared" si="50"/>
        <v>February</v>
      </c>
      <c r="G657" s="122">
        <f t="shared" ca="1" si="51"/>
        <v>17</v>
      </c>
      <c r="I657" s="214">
        <v>53310</v>
      </c>
      <c r="J657" s="213">
        <v>5</v>
      </c>
    </row>
    <row r="658" spans="1:10" x14ac:dyDescent="0.25">
      <c r="A658" s="216" t="s">
        <v>752</v>
      </c>
      <c r="B658" s="122" t="s">
        <v>266</v>
      </c>
      <c r="C658" s="122" t="s">
        <v>856</v>
      </c>
      <c r="D658" s="122" t="s">
        <v>261</v>
      </c>
      <c r="E658" s="215">
        <v>33890</v>
      </c>
      <c r="F658" s="122" t="str">
        <f t="shared" si="50"/>
        <v>October</v>
      </c>
      <c r="G658" s="122">
        <f t="shared" ca="1" si="51"/>
        <v>24</v>
      </c>
      <c r="H658" s="122" t="s">
        <v>283</v>
      </c>
      <c r="I658" s="214">
        <v>25885</v>
      </c>
      <c r="J658" s="213">
        <v>5</v>
      </c>
    </row>
    <row r="659" spans="1:10" x14ac:dyDescent="0.25">
      <c r="A659" s="217" t="s">
        <v>930</v>
      </c>
    </row>
    <row r="660" spans="1:10" x14ac:dyDescent="0.25">
      <c r="A660" s="216" t="s">
        <v>741</v>
      </c>
      <c r="B660" s="122" t="s">
        <v>266</v>
      </c>
      <c r="C660" s="122" t="s">
        <v>930</v>
      </c>
      <c r="D660" s="122" t="s">
        <v>247</v>
      </c>
      <c r="E660" s="215">
        <v>37453</v>
      </c>
      <c r="F660" s="122" t="str">
        <f t="shared" ref="F660:F691" si="52">CHOOSE(MONTH(E660),"January","February","March","April","May","June","July","August","September","October","November","December")</f>
        <v>July</v>
      </c>
      <c r="G660" s="122">
        <f t="shared" ref="G660:G691" ca="1" si="53">DATEDIF(E660,TODAY(),"Y")</f>
        <v>14</v>
      </c>
      <c r="I660" s="214">
        <v>49090</v>
      </c>
      <c r="J660" s="213">
        <v>4</v>
      </c>
    </row>
    <row r="661" spans="1:10" x14ac:dyDescent="0.25">
      <c r="A661" s="216" t="s">
        <v>462</v>
      </c>
      <c r="B661" s="122" t="s">
        <v>266</v>
      </c>
      <c r="C661" s="122" t="s">
        <v>930</v>
      </c>
      <c r="D661" s="122" t="s">
        <v>252</v>
      </c>
      <c r="E661" s="215">
        <v>36458</v>
      </c>
      <c r="F661" s="122" t="str">
        <f t="shared" si="52"/>
        <v>October</v>
      </c>
      <c r="G661" s="122">
        <f t="shared" ca="1" si="53"/>
        <v>17</v>
      </c>
      <c r="I661" s="214">
        <v>32536</v>
      </c>
      <c r="J661" s="213">
        <v>2</v>
      </c>
    </row>
    <row r="662" spans="1:10" x14ac:dyDescent="0.25">
      <c r="A662" s="216" t="s">
        <v>1030</v>
      </c>
      <c r="B662" s="122" t="s">
        <v>280</v>
      </c>
      <c r="C662" s="122" t="s">
        <v>930</v>
      </c>
      <c r="D662" s="122" t="s">
        <v>256</v>
      </c>
      <c r="E662" s="215">
        <v>39679</v>
      </c>
      <c r="F662" s="122" t="str">
        <f t="shared" si="52"/>
        <v>August</v>
      </c>
      <c r="G662" s="122">
        <f t="shared" ca="1" si="53"/>
        <v>8</v>
      </c>
      <c r="H662" s="122" t="s">
        <v>257</v>
      </c>
      <c r="I662" s="214">
        <v>22820</v>
      </c>
      <c r="J662" s="213">
        <v>5</v>
      </c>
    </row>
    <row r="663" spans="1:10" x14ac:dyDescent="0.25">
      <c r="A663" s="216" t="s">
        <v>508</v>
      </c>
      <c r="B663" s="122" t="s">
        <v>271</v>
      </c>
      <c r="C663" s="122" t="s">
        <v>930</v>
      </c>
      <c r="D663" s="122" t="s">
        <v>247</v>
      </c>
      <c r="E663" s="215">
        <v>37099</v>
      </c>
      <c r="F663" s="122" t="str">
        <f t="shared" si="52"/>
        <v>July</v>
      </c>
      <c r="G663" s="122">
        <f t="shared" ca="1" si="53"/>
        <v>15</v>
      </c>
      <c r="I663" s="214">
        <v>28270</v>
      </c>
      <c r="J663" s="213">
        <v>5</v>
      </c>
    </row>
    <row r="664" spans="1:10" x14ac:dyDescent="0.25">
      <c r="A664" s="216" t="s">
        <v>467</v>
      </c>
      <c r="B664" s="122" t="s">
        <v>245</v>
      </c>
      <c r="C664" s="122" t="s">
        <v>930</v>
      </c>
      <c r="D664" s="122" t="s">
        <v>247</v>
      </c>
      <c r="E664" s="215">
        <v>33401</v>
      </c>
      <c r="F664" s="122" t="str">
        <f t="shared" si="52"/>
        <v>June</v>
      </c>
      <c r="G664" s="122">
        <f t="shared" ca="1" si="53"/>
        <v>25</v>
      </c>
      <c r="I664" s="214">
        <v>34680</v>
      </c>
      <c r="J664" s="213">
        <v>5</v>
      </c>
    </row>
    <row r="665" spans="1:10" x14ac:dyDescent="0.25">
      <c r="A665" s="216" t="s">
        <v>536</v>
      </c>
      <c r="B665" s="122" t="s">
        <v>280</v>
      </c>
      <c r="C665" s="122" t="s">
        <v>930</v>
      </c>
      <c r="D665" s="122" t="s">
        <v>247</v>
      </c>
      <c r="E665" s="215">
        <v>35338</v>
      </c>
      <c r="F665" s="122" t="str">
        <f t="shared" si="52"/>
        <v>September</v>
      </c>
      <c r="G665" s="122">
        <f t="shared" ca="1" si="53"/>
        <v>20</v>
      </c>
      <c r="I665" s="214">
        <v>87830</v>
      </c>
      <c r="J665" s="213">
        <v>2</v>
      </c>
    </row>
    <row r="666" spans="1:10" x14ac:dyDescent="0.25">
      <c r="A666" s="216" t="s">
        <v>255</v>
      </c>
      <c r="B666" s="122" t="s">
        <v>285</v>
      </c>
      <c r="C666" s="122" t="s">
        <v>930</v>
      </c>
      <c r="D666" s="122" t="s">
        <v>261</v>
      </c>
      <c r="E666" s="215">
        <v>36462</v>
      </c>
      <c r="F666" s="122" t="str">
        <f t="shared" si="52"/>
        <v>October</v>
      </c>
      <c r="G666" s="122">
        <f t="shared" ca="1" si="53"/>
        <v>17</v>
      </c>
      <c r="H666" s="122" t="s">
        <v>283</v>
      </c>
      <c r="I666" s="214">
        <v>26185</v>
      </c>
      <c r="J666" s="213">
        <v>5</v>
      </c>
    </row>
    <row r="667" spans="1:10" x14ac:dyDescent="0.25">
      <c r="A667" s="216" t="s">
        <v>815</v>
      </c>
      <c r="B667" s="122" t="s">
        <v>285</v>
      </c>
      <c r="C667" s="122" t="s">
        <v>930</v>
      </c>
      <c r="D667" s="122" t="s">
        <v>256</v>
      </c>
      <c r="E667" s="215">
        <v>34286</v>
      </c>
      <c r="F667" s="122" t="str">
        <f t="shared" si="52"/>
        <v>November</v>
      </c>
      <c r="G667" s="122">
        <f t="shared" ca="1" si="53"/>
        <v>23</v>
      </c>
      <c r="H667" s="122" t="s">
        <v>283</v>
      </c>
      <c r="I667" s="214">
        <v>87220</v>
      </c>
      <c r="J667" s="213">
        <v>1</v>
      </c>
    </row>
    <row r="668" spans="1:10" x14ac:dyDescent="0.25">
      <c r="A668" s="216" t="s">
        <v>645</v>
      </c>
      <c r="B668" s="122" t="s">
        <v>271</v>
      </c>
      <c r="C668" s="122" t="s">
        <v>930</v>
      </c>
      <c r="D668" s="122" t="s">
        <v>256</v>
      </c>
      <c r="E668" s="215">
        <v>40637</v>
      </c>
      <c r="F668" s="122" t="str">
        <f t="shared" si="52"/>
        <v>April</v>
      </c>
      <c r="G668" s="122">
        <f t="shared" ca="1" si="53"/>
        <v>5</v>
      </c>
      <c r="H668" s="122" t="s">
        <v>257</v>
      </c>
      <c r="I668" s="214">
        <v>86640</v>
      </c>
      <c r="J668" s="213">
        <v>3</v>
      </c>
    </row>
    <row r="669" spans="1:10" x14ac:dyDescent="0.25">
      <c r="A669" s="216" t="s">
        <v>883</v>
      </c>
      <c r="B669" s="122" t="s">
        <v>280</v>
      </c>
      <c r="C669" s="122" t="s">
        <v>930</v>
      </c>
      <c r="D669" s="122" t="s">
        <v>261</v>
      </c>
      <c r="E669" s="215">
        <v>39535</v>
      </c>
      <c r="F669" s="122" t="str">
        <f t="shared" si="52"/>
        <v>March</v>
      </c>
      <c r="G669" s="122">
        <f t="shared" ca="1" si="53"/>
        <v>8</v>
      </c>
      <c r="H669" s="122" t="s">
        <v>276</v>
      </c>
      <c r="I669" s="214">
        <v>49080</v>
      </c>
      <c r="J669" s="213">
        <v>5</v>
      </c>
    </row>
    <row r="670" spans="1:10" x14ac:dyDescent="0.25">
      <c r="A670" s="216" t="s">
        <v>884</v>
      </c>
      <c r="B670" s="122" t="s">
        <v>266</v>
      </c>
      <c r="C670" s="122" t="s">
        <v>930</v>
      </c>
      <c r="D670" s="122" t="s">
        <v>256</v>
      </c>
      <c r="E670" s="215">
        <v>35776</v>
      </c>
      <c r="F670" s="122" t="str">
        <f t="shared" si="52"/>
        <v>December</v>
      </c>
      <c r="G670" s="122">
        <f t="shared" ca="1" si="53"/>
        <v>18</v>
      </c>
      <c r="H670" s="122" t="s">
        <v>257</v>
      </c>
      <c r="I670" s="214">
        <v>86320</v>
      </c>
      <c r="J670" s="213">
        <v>4</v>
      </c>
    </row>
    <row r="671" spans="1:10" x14ac:dyDescent="0.25">
      <c r="A671" s="216" t="s">
        <v>721</v>
      </c>
      <c r="B671" s="122" t="s">
        <v>271</v>
      </c>
      <c r="C671" s="122" t="s">
        <v>930</v>
      </c>
      <c r="D671" s="122" t="s">
        <v>256</v>
      </c>
      <c r="E671" s="215">
        <v>40018</v>
      </c>
      <c r="F671" s="122" t="str">
        <f t="shared" si="52"/>
        <v>July</v>
      </c>
      <c r="G671" s="122">
        <f t="shared" ca="1" si="53"/>
        <v>7</v>
      </c>
      <c r="H671" s="122" t="s">
        <v>283</v>
      </c>
      <c r="I671" s="214">
        <v>34990</v>
      </c>
      <c r="J671" s="213">
        <v>3</v>
      </c>
    </row>
    <row r="672" spans="1:10" x14ac:dyDescent="0.25">
      <c r="A672" s="216" t="s">
        <v>446</v>
      </c>
      <c r="B672" s="122" t="s">
        <v>245</v>
      </c>
      <c r="C672" s="122" t="s">
        <v>930</v>
      </c>
      <c r="D672" s="122" t="s">
        <v>247</v>
      </c>
      <c r="E672" s="215">
        <v>39728</v>
      </c>
      <c r="F672" s="122" t="str">
        <f t="shared" si="52"/>
        <v>October</v>
      </c>
      <c r="G672" s="122">
        <f t="shared" ca="1" si="53"/>
        <v>8</v>
      </c>
      <c r="I672" s="214">
        <v>86040</v>
      </c>
      <c r="J672" s="213">
        <v>5</v>
      </c>
    </row>
    <row r="673" spans="1:10" x14ac:dyDescent="0.25">
      <c r="A673" s="216" t="s">
        <v>693</v>
      </c>
      <c r="B673" s="122" t="s">
        <v>285</v>
      </c>
      <c r="C673" s="122" t="s">
        <v>930</v>
      </c>
      <c r="D673" s="122" t="s">
        <v>247</v>
      </c>
      <c r="E673" s="215">
        <v>40523</v>
      </c>
      <c r="F673" s="122" t="str">
        <f t="shared" si="52"/>
        <v>December</v>
      </c>
      <c r="G673" s="122">
        <f t="shared" ca="1" si="53"/>
        <v>5</v>
      </c>
      <c r="I673" s="214">
        <v>46570</v>
      </c>
      <c r="J673" s="213">
        <v>4</v>
      </c>
    </row>
    <row r="674" spans="1:10" x14ac:dyDescent="0.25">
      <c r="A674" s="216" t="s">
        <v>566</v>
      </c>
      <c r="B674" s="122" t="s">
        <v>280</v>
      </c>
      <c r="C674" s="122" t="s">
        <v>930</v>
      </c>
      <c r="D674" s="122" t="s">
        <v>256</v>
      </c>
      <c r="E674" s="215">
        <v>33978</v>
      </c>
      <c r="F674" s="122" t="str">
        <f t="shared" si="52"/>
        <v>January</v>
      </c>
      <c r="G674" s="122">
        <f t="shared" ca="1" si="53"/>
        <v>23</v>
      </c>
      <c r="H674" s="122" t="s">
        <v>283</v>
      </c>
      <c r="I674" s="214">
        <v>46410</v>
      </c>
      <c r="J674" s="213">
        <v>2</v>
      </c>
    </row>
    <row r="675" spans="1:10" x14ac:dyDescent="0.25">
      <c r="A675" s="216" t="s">
        <v>576</v>
      </c>
      <c r="B675" s="122" t="s">
        <v>245</v>
      </c>
      <c r="C675" s="122" t="s">
        <v>930</v>
      </c>
      <c r="D675" s="122" t="s">
        <v>252</v>
      </c>
      <c r="E675" s="215">
        <v>38646</v>
      </c>
      <c r="F675" s="122" t="str">
        <f t="shared" si="52"/>
        <v>October</v>
      </c>
      <c r="G675" s="122">
        <f t="shared" ca="1" si="53"/>
        <v>11</v>
      </c>
      <c r="I675" s="214">
        <v>37344</v>
      </c>
      <c r="J675" s="213">
        <v>2</v>
      </c>
    </row>
    <row r="676" spans="1:10" x14ac:dyDescent="0.25">
      <c r="A676" s="216" t="s">
        <v>664</v>
      </c>
      <c r="B676" s="122" t="s">
        <v>285</v>
      </c>
      <c r="C676" s="122" t="s">
        <v>930</v>
      </c>
      <c r="D676" s="122" t="s">
        <v>256</v>
      </c>
      <c r="E676" s="215">
        <v>39728</v>
      </c>
      <c r="F676" s="122" t="str">
        <f t="shared" si="52"/>
        <v>October</v>
      </c>
      <c r="G676" s="122">
        <f t="shared" ca="1" si="53"/>
        <v>8</v>
      </c>
      <c r="H676" s="122" t="s">
        <v>257</v>
      </c>
      <c r="I676" s="214">
        <v>82370</v>
      </c>
      <c r="J676" s="213">
        <v>5</v>
      </c>
    </row>
    <row r="677" spans="1:10" x14ac:dyDescent="0.25">
      <c r="A677" s="216" t="s">
        <v>295</v>
      </c>
      <c r="B677" s="122" t="s">
        <v>245</v>
      </c>
      <c r="C677" s="122" t="s">
        <v>930</v>
      </c>
      <c r="D677" s="122" t="s">
        <v>256</v>
      </c>
      <c r="E677" s="215">
        <v>38347</v>
      </c>
      <c r="F677" s="122" t="str">
        <f t="shared" si="52"/>
        <v>December</v>
      </c>
      <c r="G677" s="122">
        <f t="shared" ca="1" si="53"/>
        <v>11</v>
      </c>
      <c r="H677" s="122" t="s">
        <v>283</v>
      </c>
      <c r="I677" s="214">
        <v>81340</v>
      </c>
      <c r="J677" s="213">
        <v>2</v>
      </c>
    </row>
    <row r="678" spans="1:10" x14ac:dyDescent="0.25">
      <c r="A678" s="216" t="s">
        <v>298</v>
      </c>
      <c r="B678" s="122" t="s">
        <v>285</v>
      </c>
      <c r="C678" s="122" t="s">
        <v>930</v>
      </c>
      <c r="D678" s="122" t="s">
        <v>247</v>
      </c>
      <c r="E678" s="215">
        <v>40235</v>
      </c>
      <c r="F678" s="122" t="str">
        <f t="shared" si="52"/>
        <v>February</v>
      </c>
      <c r="G678" s="122">
        <f t="shared" ca="1" si="53"/>
        <v>6</v>
      </c>
      <c r="I678" s="214">
        <v>80729</v>
      </c>
      <c r="J678" s="213">
        <v>3</v>
      </c>
    </row>
    <row r="679" spans="1:10" x14ac:dyDescent="0.25">
      <c r="A679" s="216" t="s">
        <v>520</v>
      </c>
      <c r="B679" s="122" t="s">
        <v>285</v>
      </c>
      <c r="C679" s="122" t="s">
        <v>930</v>
      </c>
      <c r="D679" s="122" t="s">
        <v>247</v>
      </c>
      <c r="E679" s="215">
        <v>34534</v>
      </c>
      <c r="F679" s="122" t="str">
        <f t="shared" si="52"/>
        <v>July</v>
      </c>
      <c r="G679" s="122">
        <f t="shared" ca="1" si="53"/>
        <v>22</v>
      </c>
      <c r="I679" s="214">
        <v>45105</v>
      </c>
      <c r="J679" s="213">
        <v>1</v>
      </c>
    </row>
    <row r="680" spans="1:10" x14ac:dyDescent="0.25">
      <c r="A680" s="216" t="s">
        <v>938</v>
      </c>
      <c r="B680" s="122" t="s">
        <v>285</v>
      </c>
      <c r="C680" s="122" t="s">
        <v>930</v>
      </c>
      <c r="D680" s="122" t="s">
        <v>256</v>
      </c>
      <c r="E680" s="215">
        <v>35137</v>
      </c>
      <c r="F680" s="122" t="str">
        <f t="shared" si="52"/>
        <v>March</v>
      </c>
      <c r="G680" s="122">
        <f t="shared" ca="1" si="53"/>
        <v>20</v>
      </c>
      <c r="H680" s="122" t="s">
        <v>283</v>
      </c>
      <c r="I680" s="214">
        <v>33590</v>
      </c>
      <c r="J680" s="213">
        <v>5</v>
      </c>
    </row>
    <row r="681" spans="1:10" x14ac:dyDescent="0.25">
      <c r="A681" s="216" t="s">
        <v>986</v>
      </c>
      <c r="B681" s="122" t="s">
        <v>245</v>
      </c>
      <c r="C681" s="122" t="s">
        <v>930</v>
      </c>
      <c r="D681" s="122" t="s">
        <v>256</v>
      </c>
      <c r="E681" s="215">
        <v>39602</v>
      </c>
      <c r="F681" s="122" t="str">
        <f t="shared" si="52"/>
        <v>June</v>
      </c>
      <c r="G681" s="122">
        <f t="shared" ca="1" si="53"/>
        <v>8</v>
      </c>
      <c r="H681" s="122" t="s">
        <v>257</v>
      </c>
      <c r="I681" s="214">
        <v>79380</v>
      </c>
      <c r="J681" s="213">
        <v>5</v>
      </c>
    </row>
    <row r="682" spans="1:10" x14ac:dyDescent="0.25">
      <c r="A682" s="216" t="s">
        <v>284</v>
      </c>
      <c r="B682" s="122" t="s">
        <v>271</v>
      </c>
      <c r="C682" s="122" t="s">
        <v>930</v>
      </c>
      <c r="D682" s="122" t="s">
        <v>261</v>
      </c>
      <c r="E682" s="215">
        <v>34154</v>
      </c>
      <c r="F682" s="122" t="str">
        <f t="shared" si="52"/>
        <v>July</v>
      </c>
      <c r="G682" s="122">
        <f t="shared" ca="1" si="53"/>
        <v>23</v>
      </c>
      <c r="H682" s="122" t="s">
        <v>257</v>
      </c>
      <c r="I682" s="214">
        <v>49545</v>
      </c>
      <c r="J682" s="213">
        <v>2</v>
      </c>
    </row>
    <row r="683" spans="1:10" x14ac:dyDescent="0.25">
      <c r="A683" s="216" t="s">
        <v>517</v>
      </c>
      <c r="B683" s="122" t="s">
        <v>251</v>
      </c>
      <c r="C683" s="122" t="s">
        <v>930</v>
      </c>
      <c r="D683" s="122" t="s">
        <v>256</v>
      </c>
      <c r="E683" s="215">
        <v>37009</v>
      </c>
      <c r="F683" s="122" t="str">
        <f t="shared" si="52"/>
        <v>April</v>
      </c>
      <c r="G683" s="122">
        <f t="shared" ca="1" si="53"/>
        <v>15</v>
      </c>
      <c r="H683" s="122" t="s">
        <v>283</v>
      </c>
      <c r="I683" s="214">
        <v>78710</v>
      </c>
      <c r="J683" s="213">
        <v>2</v>
      </c>
    </row>
    <row r="684" spans="1:10" x14ac:dyDescent="0.25">
      <c r="A684" s="216" t="s">
        <v>1059</v>
      </c>
      <c r="B684" s="122" t="s">
        <v>280</v>
      </c>
      <c r="C684" s="122" t="s">
        <v>930</v>
      </c>
      <c r="D684" s="122" t="s">
        <v>247</v>
      </c>
      <c r="E684" s="215">
        <v>34135</v>
      </c>
      <c r="F684" s="122" t="str">
        <f t="shared" si="52"/>
        <v>June</v>
      </c>
      <c r="G684" s="122">
        <f t="shared" ca="1" si="53"/>
        <v>23</v>
      </c>
      <c r="I684" s="214">
        <v>78590</v>
      </c>
      <c r="J684" s="213">
        <v>1</v>
      </c>
    </row>
    <row r="685" spans="1:10" x14ac:dyDescent="0.25">
      <c r="A685" s="216" t="s">
        <v>981</v>
      </c>
      <c r="B685" s="122" t="s">
        <v>251</v>
      </c>
      <c r="C685" s="122" t="s">
        <v>930</v>
      </c>
      <c r="D685" s="122" t="s">
        <v>261</v>
      </c>
      <c r="E685" s="215">
        <v>36365</v>
      </c>
      <c r="F685" s="122" t="str">
        <f t="shared" si="52"/>
        <v>July</v>
      </c>
      <c r="G685" s="122">
        <f t="shared" ca="1" si="53"/>
        <v>17</v>
      </c>
      <c r="H685" s="122" t="s">
        <v>267</v>
      </c>
      <c r="I685" s="214">
        <v>19825</v>
      </c>
      <c r="J685" s="213">
        <v>2</v>
      </c>
    </row>
    <row r="686" spans="1:10" x14ac:dyDescent="0.25">
      <c r="A686" s="216" t="s">
        <v>598</v>
      </c>
      <c r="B686" s="122" t="s">
        <v>285</v>
      </c>
      <c r="C686" s="122" t="s">
        <v>930</v>
      </c>
      <c r="D686" s="122" t="s">
        <v>261</v>
      </c>
      <c r="E686" s="215">
        <v>33391</v>
      </c>
      <c r="F686" s="122" t="str">
        <f t="shared" si="52"/>
        <v>June</v>
      </c>
      <c r="G686" s="122">
        <f t="shared" ca="1" si="53"/>
        <v>25</v>
      </c>
      <c r="H686" s="122" t="s">
        <v>283</v>
      </c>
      <c r="I686" s="214">
        <v>13455</v>
      </c>
      <c r="J686" s="213">
        <v>2</v>
      </c>
    </row>
    <row r="687" spans="1:10" x14ac:dyDescent="0.25">
      <c r="A687" s="216" t="s">
        <v>395</v>
      </c>
      <c r="B687" s="122" t="s">
        <v>285</v>
      </c>
      <c r="C687" s="122" t="s">
        <v>930</v>
      </c>
      <c r="D687" s="122" t="s">
        <v>252</v>
      </c>
      <c r="E687" s="215">
        <v>35247</v>
      </c>
      <c r="F687" s="122" t="str">
        <f t="shared" si="52"/>
        <v>July</v>
      </c>
      <c r="G687" s="122">
        <f t="shared" ca="1" si="53"/>
        <v>20</v>
      </c>
      <c r="I687" s="214">
        <v>33752</v>
      </c>
      <c r="J687" s="213">
        <v>3</v>
      </c>
    </row>
    <row r="688" spans="1:10" x14ac:dyDescent="0.25">
      <c r="A688" s="216" t="s">
        <v>567</v>
      </c>
      <c r="B688" s="122" t="s">
        <v>285</v>
      </c>
      <c r="C688" s="122" t="s">
        <v>930</v>
      </c>
      <c r="D688" s="122" t="s">
        <v>256</v>
      </c>
      <c r="E688" s="215">
        <v>35627</v>
      </c>
      <c r="F688" s="122" t="str">
        <f t="shared" si="52"/>
        <v>July</v>
      </c>
      <c r="G688" s="122">
        <f t="shared" ca="1" si="53"/>
        <v>19</v>
      </c>
      <c r="H688" s="122" t="s">
        <v>283</v>
      </c>
      <c r="I688" s="214">
        <v>41380</v>
      </c>
      <c r="J688" s="213">
        <v>2</v>
      </c>
    </row>
    <row r="689" spans="1:10" x14ac:dyDescent="0.25">
      <c r="A689" s="216" t="s">
        <v>366</v>
      </c>
      <c r="B689" s="122" t="s">
        <v>280</v>
      </c>
      <c r="C689" s="122" t="s">
        <v>930</v>
      </c>
      <c r="D689" s="122" t="s">
        <v>256</v>
      </c>
      <c r="E689" s="215">
        <v>36243</v>
      </c>
      <c r="F689" s="122" t="str">
        <f t="shared" si="52"/>
        <v>March</v>
      </c>
      <c r="G689" s="122">
        <f t="shared" ca="1" si="53"/>
        <v>17</v>
      </c>
      <c r="H689" s="122" t="s">
        <v>276</v>
      </c>
      <c r="I689" s="214">
        <v>77680</v>
      </c>
      <c r="J689" s="213">
        <v>3</v>
      </c>
    </row>
    <row r="690" spans="1:10" x14ac:dyDescent="0.25">
      <c r="A690" s="216" t="s">
        <v>463</v>
      </c>
      <c r="B690" s="122" t="s">
        <v>266</v>
      </c>
      <c r="C690" s="122" t="s">
        <v>930</v>
      </c>
      <c r="D690" s="122" t="s">
        <v>247</v>
      </c>
      <c r="E690" s="215">
        <v>37065</v>
      </c>
      <c r="F690" s="122" t="str">
        <f t="shared" si="52"/>
        <v>June</v>
      </c>
      <c r="G690" s="122">
        <f t="shared" ca="1" si="53"/>
        <v>15</v>
      </c>
      <c r="I690" s="214">
        <v>77136</v>
      </c>
      <c r="J690" s="213">
        <v>5</v>
      </c>
    </row>
    <row r="691" spans="1:10" x14ac:dyDescent="0.25">
      <c r="A691" s="216" t="s">
        <v>746</v>
      </c>
      <c r="B691" s="122" t="s">
        <v>266</v>
      </c>
      <c r="C691" s="122" t="s">
        <v>930</v>
      </c>
      <c r="D691" s="122" t="s">
        <v>247</v>
      </c>
      <c r="E691" s="215">
        <v>40334</v>
      </c>
      <c r="F691" s="122" t="str">
        <f t="shared" si="52"/>
        <v>June</v>
      </c>
      <c r="G691" s="122">
        <f t="shared" ca="1" si="53"/>
        <v>6</v>
      </c>
      <c r="I691" s="214">
        <v>47280</v>
      </c>
      <c r="J691" s="213">
        <v>1</v>
      </c>
    </row>
    <row r="692" spans="1:10" x14ac:dyDescent="0.25">
      <c r="A692" s="216" t="s">
        <v>996</v>
      </c>
      <c r="B692" s="122" t="s">
        <v>280</v>
      </c>
      <c r="C692" s="122" t="s">
        <v>930</v>
      </c>
      <c r="D692" s="122" t="s">
        <v>247</v>
      </c>
      <c r="E692" s="215">
        <v>35280</v>
      </c>
      <c r="F692" s="122" t="str">
        <f t="shared" ref="F692:F723" si="54">CHOOSE(MONTH(E692),"January","February","March","April","May","June","July","August","September","October","November","December")</f>
        <v>August</v>
      </c>
      <c r="G692" s="122">
        <f t="shared" ref="G692:G723" ca="1" si="55">DATEDIF(E692,TODAY(),"Y")</f>
        <v>20</v>
      </c>
      <c r="I692" s="214">
        <v>41770</v>
      </c>
      <c r="J692" s="213">
        <v>5</v>
      </c>
    </row>
    <row r="693" spans="1:10" x14ac:dyDescent="0.25">
      <c r="A693" s="216" t="s">
        <v>859</v>
      </c>
      <c r="B693" s="122" t="s">
        <v>251</v>
      </c>
      <c r="C693" s="122" t="s">
        <v>930</v>
      </c>
      <c r="D693" s="122" t="s">
        <v>256</v>
      </c>
      <c r="E693" s="215">
        <v>38626</v>
      </c>
      <c r="F693" s="122" t="str">
        <f t="shared" si="54"/>
        <v>October</v>
      </c>
      <c r="G693" s="122">
        <f t="shared" ca="1" si="55"/>
        <v>11</v>
      </c>
      <c r="H693" s="122" t="s">
        <v>257</v>
      </c>
      <c r="I693" s="214">
        <v>44530</v>
      </c>
      <c r="J693" s="213">
        <v>2</v>
      </c>
    </row>
    <row r="694" spans="1:10" x14ac:dyDescent="0.25">
      <c r="A694" s="216" t="s">
        <v>452</v>
      </c>
      <c r="B694" s="122" t="s">
        <v>285</v>
      </c>
      <c r="C694" s="122" t="s">
        <v>930</v>
      </c>
      <c r="D694" s="122" t="s">
        <v>247</v>
      </c>
      <c r="E694" s="215">
        <v>34126</v>
      </c>
      <c r="F694" s="122" t="str">
        <f t="shared" si="54"/>
        <v>June</v>
      </c>
      <c r="G694" s="122">
        <f t="shared" ca="1" si="55"/>
        <v>23</v>
      </c>
      <c r="I694" s="214">
        <v>75550</v>
      </c>
      <c r="J694" s="213">
        <v>3</v>
      </c>
    </row>
    <row r="695" spans="1:10" x14ac:dyDescent="0.25">
      <c r="A695" s="216" t="s">
        <v>540</v>
      </c>
      <c r="B695" s="122" t="s">
        <v>266</v>
      </c>
      <c r="C695" s="122" t="s">
        <v>930</v>
      </c>
      <c r="D695" s="122" t="s">
        <v>261</v>
      </c>
      <c r="E695" s="215">
        <v>35297</v>
      </c>
      <c r="F695" s="122" t="str">
        <f t="shared" si="54"/>
        <v>August</v>
      </c>
      <c r="G695" s="122">
        <f t="shared" ca="1" si="55"/>
        <v>20</v>
      </c>
      <c r="H695" s="122" t="s">
        <v>283</v>
      </c>
      <c r="I695" s="214">
        <v>38105</v>
      </c>
      <c r="J695" s="213">
        <v>2</v>
      </c>
    </row>
    <row r="696" spans="1:10" x14ac:dyDescent="0.25">
      <c r="A696" s="216" t="s">
        <v>982</v>
      </c>
      <c r="B696" s="122" t="s">
        <v>285</v>
      </c>
      <c r="C696" s="122" t="s">
        <v>930</v>
      </c>
      <c r="D696" s="122" t="s">
        <v>247</v>
      </c>
      <c r="E696" s="215">
        <v>33144</v>
      </c>
      <c r="F696" s="122" t="str">
        <f t="shared" si="54"/>
        <v>September</v>
      </c>
      <c r="G696" s="122">
        <f t="shared" ca="1" si="55"/>
        <v>26</v>
      </c>
      <c r="I696" s="214">
        <v>23340</v>
      </c>
      <c r="J696" s="213">
        <v>4</v>
      </c>
    </row>
    <row r="697" spans="1:10" x14ac:dyDescent="0.25">
      <c r="A697" s="216" t="s">
        <v>1011</v>
      </c>
      <c r="B697" s="122" t="s">
        <v>280</v>
      </c>
      <c r="C697" s="122" t="s">
        <v>930</v>
      </c>
      <c r="D697" s="122" t="s">
        <v>261</v>
      </c>
      <c r="E697" s="215">
        <v>36053</v>
      </c>
      <c r="F697" s="122" t="str">
        <f t="shared" si="54"/>
        <v>September</v>
      </c>
      <c r="G697" s="122">
        <f t="shared" ca="1" si="55"/>
        <v>18</v>
      </c>
      <c r="H697" s="122" t="s">
        <v>276</v>
      </c>
      <c r="I697" s="214">
        <v>46105</v>
      </c>
      <c r="J697" s="213">
        <v>5</v>
      </c>
    </row>
    <row r="698" spans="1:10" x14ac:dyDescent="0.25">
      <c r="A698" s="216" t="s">
        <v>442</v>
      </c>
      <c r="B698" s="122" t="s">
        <v>271</v>
      </c>
      <c r="C698" s="122" t="s">
        <v>930</v>
      </c>
      <c r="D698" s="122" t="s">
        <v>256</v>
      </c>
      <c r="E698" s="215">
        <v>34425</v>
      </c>
      <c r="F698" s="122" t="str">
        <f t="shared" si="54"/>
        <v>April</v>
      </c>
      <c r="G698" s="122">
        <f t="shared" ca="1" si="55"/>
        <v>22</v>
      </c>
      <c r="H698" s="122" t="s">
        <v>283</v>
      </c>
      <c r="I698" s="214">
        <v>73850</v>
      </c>
      <c r="J698" s="213">
        <v>2</v>
      </c>
    </row>
    <row r="699" spans="1:10" x14ac:dyDescent="0.25">
      <c r="A699" s="216" t="s">
        <v>297</v>
      </c>
      <c r="B699" s="122" t="s">
        <v>285</v>
      </c>
      <c r="C699" s="122" t="s">
        <v>930</v>
      </c>
      <c r="D699" s="122" t="s">
        <v>261</v>
      </c>
      <c r="E699" s="215">
        <v>35466</v>
      </c>
      <c r="F699" s="122" t="str">
        <f t="shared" si="54"/>
        <v>February</v>
      </c>
      <c r="G699" s="122">
        <f t="shared" ca="1" si="55"/>
        <v>19</v>
      </c>
      <c r="H699" s="122" t="s">
        <v>262</v>
      </c>
      <c r="I699" s="214">
        <v>37660</v>
      </c>
      <c r="J699" s="213">
        <v>4</v>
      </c>
    </row>
    <row r="700" spans="1:10" x14ac:dyDescent="0.25">
      <c r="A700" s="216" t="s">
        <v>350</v>
      </c>
      <c r="B700" s="122" t="s">
        <v>285</v>
      </c>
      <c r="C700" s="122" t="s">
        <v>930</v>
      </c>
      <c r="D700" s="122" t="s">
        <v>256</v>
      </c>
      <c r="E700" s="215">
        <v>36619</v>
      </c>
      <c r="F700" s="122" t="str">
        <f t="shared" si="54"/>
        <v>April</v>
      </c>
      <c r="G700" s="122">
        <f t="shared" ca="1" si="55"/>
        <v>16</v>
      </c>
      <c r="H700" s="122" t="s">
        <v>262</v>
      </c>
      <c r="I700" s="214">
        <v>71970</v>
      </c>
      <c r="J700" s="213">
        <v>4</v>
      </c>
    </row>
    <row r="701" spans="1:10" x14ac:dyDescent="0.25">
      <c r="A701" s="216" t="s">
        <v>308</v>
      </c>
      <c r="B701" s="122" t="s">
        <v>251</v>
      </c>
      <c r="C701" s="122" t="s">
        <v>930</v>
      </c>
      <c r="D701" s="122" t="s">
        <v>256</v>
      </c>
      <c r="E701" s="215">
        <v>35307</v>
      </c>
      <c r="F701" s="122" t="str">
        <f t="shared" si="54"/>
        <v>August</v>
      </c>
      <c r="G701" s="122">
        <f t="shared" ca="1" si="55"/>
        <v>20</v>
      </c>
      <c r="H701" s="122" t="s">
        <v>257</v>
      </c>
      <c r="I701" s="214">
        <v>31690</v>
      </c>
      <c r="J701" s="213">
        <v>4</v>
      </c>
    </row>
    <row r="702" spans="1:10" x14ac:dyDescent="0.25">
      <c r="A702" s="216" t="s">
        <v>289</v>
      </c>
      <c r="B702" s="122" t="s">
        <v>285</v>
      </c>
      <c r="C702" s="122" t="s">
        <v>930</v>
      </c>
      <c r="D702" s="122" t="s">
        <v>256</v>
      </c>
      <c r="E702" s="215">
        <v>38328</v>
      </c>
      <c r="F702" s="122" t="str">
        <f t="shared" si="54"/>
        <v>December</v>
      </c>
      <c r="G702" s="122">
        <f t="shared" ca="1" si="55"/>
        <v>11</v>
      </c>
      <c r="H702" s="122" t="s">
        <v>262</v>
      </c>
      <c r="I702" s="214">
        <v>48280</v>
      </c>
      <c r="J702" s="213">
        <v>4</v>
      </c>
    </row>
    <row r="703" spans="1:10" x14ac:dyDescent="0.25">
      <c r="A703" s="216" t="s">
        <v>487</v>
      </c>
      <c r="B703" s="122" t="s">
        <v>266</v>
      </c>
      <c r="C703" s="122" t="s">
        <v>930</v>
      </c>
      <c r="D703" s="122" t="s">
        <v>256</v>
      </c>
      <c r="E703" s="215">
        <v>40536</v>
      </c>
      <c r="F703" s="122" t="str">
        <f t="shared" si="54"/>
        <v>December</v>
      </c>
      <c r="G703" s="122">
        <f t="shared" ca="1" si="55"/>
        <v>5</v>
      </c>
      <c r="H703" s="122" t="s">
        <v>283</v>
      </c>
      <c r="I703" s="214">
        <v>70730</v>
      </c>
      <c r="J703" s="213">
        <v>1</v>
      </c>
    </row>
    <row r="704" spans="1:10" x14ac:dyDescent="0.25">
      <c r="A704" s="216" t="s">
        <v>643</v>
      </c>
      <c r="B704" s="122" t="s">
        <v>245</v>
      </c>
      <c r="C704" s="122" t="s">
        <v>930</v>
      </c>
      <c r="D704" s="122" t="s">
        <v>247</v>
      </c>
      <c r="E704" s="215">
        <v>33820</v>
      </c>
      <c r="F704" s="122" t="str">
        <f t="shared" si="54"/>
        <v>August</v>
      </c>
      <c r="G704" s="122">
        <f t="shared" ca="1" si="55"/>
        <v>24</v>
      </c>
      <c r="I704" s="214">
        <v>70300</v>
      </c>
      <c r="J704" s="213">
        <v>3</v>
      </c>
    </row>
    <row r="705" spans="1:10" x14ac:dyDescent="0.25">
      <c r="A705" s="216" t="s">
        <v>919</v>
      </c>
      <c r="B705" s="122" t="s">
        <v>285</v>
      </c>
      <c r="C705" s="122" t="s">
        <v>930</v>
      </c>
      <c r="D705" s="122" t="s">
        <v>252</v>
      </c>
      <c r="E705" s="215">
        <v>35576</v>
      </c>
      <c r="F705" s="122" t="str">
        <f t="shared" si="54"/>
        <v>May</v>
      </c>
      <c r="G705" s="122">
        <f t="shared" ca="1" si="55"/>
        <v>19</v>
      </c>
      <c r="I705" s="214">
        <v>28768</v>
      </c>
      <c r="J705" s="213">
        <v>3</v>
      </c>
    </row>
    <row r="706" spans="1:10" x14ac:dyDescent="0.25">
      <c r="A706" s="216" t="s">
        <v>777</v>
      </c>
      <c r="B706" s="122" t="s">
        <v>280</v>
      </c>
      <c r="C706" s="122" t="s">
        <v>930</v>
      </c>
      <c r="D706" s="122" t="s">
        <v>247</v>
      </c>
      <c r="E706" s="215">
        <v>34159</v>
      </c>
      <c r="F706" s="122" t="str">
        <f t="shared" si="54"/>
        <v>July</v>
      </c>
      <c r="G706" s="122">
        <f t="shared" ca="1" si="55"/>
        <v>23</v>
      </c>
      <c r="I706" s="214">
        <v>35240</v>
      </c>
      <c r="J706" s="213">
        <v>3</v>
      </c>
    </row>
    <row r="707" spans="1:10" x14ac:dyDescent="0.25">
      <c r="A707" s="216" t="s">
        <v>771</v>
      </c>
      <c r="B707" s="122" t="s">
        <v>285</v>
      </c>
      <c r="C707" s="122" t="s">
        <v>930</v>
      </c>
      <c r="D707" s="122" t="s">
        <v>247</v>
      </c>
      <c r="E707" s="215">
        <v>33974</v>
      </c>
      <c r="F707" s="122" t="str">
        <f t="shared" si="54"/>
        <v>January</v>
      </c>
      <c r="G707" s="122">
        <f t="shared" ca="1" si="55"/>
        <v>23</v>
      </c>
      <c r="I707" s="214">
        <v>70150</v>
      </c>
      <c r="J707" s="213">
        <v>2</v>
      </c>
    </row>
    <row r="708" spans="1:10" x14ac:dyDescent="0.25">
      <c r="A708" s="216" t="s">
        <v>373</v>
      </c>
      <c r="B708" s="122" t="s">
        <v>271</v>
      </c>
      <c r="C708" s="122" t="s">
        <v>930</v>
      </c>
      <c r="D708" s="122" t="s">
        <v>256</v>
      </c>
      <c r="E708" s="215">
        <v>34670</v>
      </c>
      <c r="F708" s="122" t="str">
        <f t="shared" si="54"/>
        <v>December</v>
      </c>
      <c r="G708" s="122">
        <f t="shared" ca="1" si="55"/>
        <v>21</v>
      </c>
      <c r="H708" s="122" t="s">
        <v>257</v>
      </c>
      <c r="I708" s="214">
        <v>69510</v>
      </c>
      <c r="J708" s="213">
        <v>5</v>
      </c>
    </row>
    <row r="709" spans="1:10" x14ac:dyDescent="0.25">
      <c r="A709" s="216" t="s">
        <v>570</v>
      </c>
      <c r="B709" s="122" t="s">
        <v>251</v>
      </c>
      <c r="C709" s="122" t="s">
        <v>930</v>
      </c>
      <c r="D709" s="122" t="s">
        <v>256</v>
      </c>
      <c r="E709" s="215">
        <v>36080</v>
      </c>
      <c r="F709" s="122" t="str">
        <f t="shared" si="54"/>
        <v>October</v>
      </c>
      <c r="G709" s="122">
        <f t="shared" ca="1" si="55"/>
        <v>18</v>
      </c>
      <c r="H709" s="122" t="s">
        <v>283</v>
      </c>
      <c r="I709" s="214">
        <v>48410</v>
      </c>
      <c r="J709" s="213">
        <v>5</v>
      </c>
    </row>
    <row r="710" spans="1:10" x14ac:dyDescent="0.25">
      <c r="A710" s="216" t="s">
        <v>403</v>
      </c>
      <c r="B710" s="122" t="s">
        <v>280</v>
      </c>
      <c r="C710" s="122" t="s">
        <v>930</v>
      </c>
      <c r="D710" s="122" t="s">
        <v>256</v>
      </c>
      <c r="E710" s="215">
        <v>39441</v>
      </c>
      <c r="F710" s="122" t="str">
        <f t="shared" si="54"/>
        <v>December</v>
      </c>
      <c r="G710" s="122">
        <f t="shared" ca="1" si="55"/>
        <v>8</v>
      </c>
      <c r="H710" s="122" t="s">
        <v>262</v>
      </c>
      <c r="I710" s="214">
        <v>68860</v>
      </c>
      <c r="J710" s="213">
        <v>2</v>
      </c>
    </row>
    <row r="711" spans="1:10" x14ac:dyDescent="0.25">
      <c r="A711" s="216" t="s">
        <v>711</v>
      </c>
      <c r="B711" s="122" t="s">
        <v>251</v>
      </c>
      <c r="C711" s="122" t="s">
        <v>930</v>
      </c>
      <c r="D711" s="122" t="s">
        <v>247</v>
      </c>
      <c r="E711" s="215">
        <v>40638</v>
      </c>
      <c r="F711" s="122" t="str">
        <f t="shared" si="54"/>
        <v>April</v>
      </c>
      <c r="G711" s="122">
        <f t="shared" ca="1" si="55"/>
        <v>5</v>
      </c>
      <c r="I711" s="214">
        <v>42990</v>
      </c>
      <c r="J711" s="213">
        <v>4</v>
      </c>
    </row>
    <row r="712" spans="1:10" x14ac:dyDescent="0.25">
      <c r="A712" s="216" t="s">
        <v>479</v>
      </c>
      <c r="B712" s="122" t="s">
        <v>285</v>
      </c>
      <c r="C712" s="122" t="s">
        <v>930</v>
      </c>
      <c r="D712" s="122" t="s">
        <v>256</v>
      </c>
      <c r="E712" s="215">
        <v>36672</v>
      </c>
      <c r="F712" s="122" t="str">
        <f t="shared" si="54"/>
        <v>May</v>
      </c>
      <c r="G712" s="122">
        <f t="shared" ca="1" si="55"/>
        <v>16</v>
      </c>
      <c r="H712" s="122" t="s">
        <v>262</v>
      </c>
      <c r="I712" s="214">
        <v>65320</v>
      </c>
      <c r="J712" s="213">
        <v>5</v>
      </c>
    </row>
    <row r="713" spans="1:10" x14ac:dyDescent="0.25">
      <c r="A713" s="216" t="s">
        <v>921</v>
      </c>
      <c r="B713" s="122" t="s">
        <v>285</v>
      </c>
      <c r="C713" s="122" t="s">
        <v>930</v>
      </c>
      <c r="D713" s="122" t="s">
        <v>256</v>
      </c>
      <c r="E713" s="215">
        <v>35052</v>
      </c>
      <c r="F713" s="122" t="str">
        <f t="shared" si="54"/>
        <v>December</v>
      </c>
      <c r="G713" s="122">
        <f t="shared" ca="1" si="55"/>
        <v>20</v>
      </c>
      <c r="H713" s="122" t="s">
        <v>267</v>
      </c>
      <c r="I713" s="214">
        <v>64780</v>
      </c>
      <c r="J713" s="213">
        <v>5</v>
      </c>
    </row>
    <row r="714" spans="1:10" x14ac:dyDescent="0.25">
      <c r="A714" s="216" t="s">
        <v>610</v>
      </c>
      <c r="B714" s="122" t="s">
        <v>285</v>
      </c>
      <c r="C714" s="122" t="s">
        <v>930</v>
      </c>
      <c r="D714" s="122" t="s">
        <v>247</v>
      </c>
      <c r="E714" s="215">
        <v>35826</v>
      </c>
      <c r="F714" s="122" t="str">
        <f t="shared" si="54"/>
        <v>January</v>
      </c>
      <c r="G714" s="122">
        <f t="shared" ca="1" si="55"/>
        <v>18</v>
      </c>
      <c r="I714" s="214">
        <v>45030</v>
      </c>
      <c r="J714" s="213">
        <v>3</v>
      </c>
    </row>
    <row r="715" spans="1:10" x14ac:dyDescent="0.25">
      <c r="A715" s="216" t="s">
        <v>354</v>
      </c>
      <c r="B715" s="122" t="s">
        <v>285</v>
      </c>
      <c r="C715" s="122" t="s">
        <v>930</v>
      </c>
      <c r="D715" s="122" t="s">
        <v>256</v>
      </c>
      <c r="E715" s="215">
        <v>36025</v>
      </c>
      <c r="F715" s="122" t="str">
        <f t="shared" si="54"/>
        <v>August</v>
      </c>
      <c r="G715" s="122">
        <f t="shared" ca="1" si="55"/>
        <v>18</v>
      </c>
      <c r="H715" s="122" t="s">
        <v>262</v>
      </c>
      <c r="I715" s="214">
        <v>64470</v>
      </c>
      <c r="J715" s="213">
        <v>5</v>
      </c>
    </row>
    <row r="716" spans="1:10" x14ac:dyDescent="0.25">
      <c r="A716" s="216" t="s">
        <v>812</v>
      </c>
      <c r="B716" s="122" t="s">
        <v>271</v>
      </c>
      <c r="C716" s="122" t="s">
        <v>930</v>
      </c>
      <c r="D716" s="122" t="s">
        <v>247</v>
      </c>
      <c r="E716" s="215">
        <v>34723</v>
      </c>
      <c r="F716" s="122" t="str">
        <f t="shared" si="54"/>
        <v>January</v>
      </c>
      <c r="G716" s="122">
        <f t="shared" ca="1" si="55"/>
        <v>21</v>
      </c>
      <c r="I716" s="214">
        <v>64263</v>
      </c>
      <c r="J716" s="213">
        <v>3</v>
      </c>
    </row>
    <row r="717" spans="1:10" x14ac:dyDescent="0.25">
      <c r="A717" s="216" t="s">
        <v>787</v>
      </c>
      <c r="B717" s="122" t="s">
        <v>285</v>
      </c>
      <c r="C717" s="122" t="s">
        <v>930</v>
      </c>
      <c r="D717" s="122" t="s">
        <v>252</v>
      </c>
      <c r="E717" s="215">
        <v>34825</v>
      </c>
      <c r="F717" s="122" t="str">
        <f t="shared" si="54"/>
        <v>May</v>
      </c>
      <c r="G717" s="122">
        <f t="shared" ca="1" si="55"/>
        <v>21</v>
      </c>
      <c r="I717" s="214">
        <v>26944</v>
      </c>
      <c r="J717" s="213">
        <v>4</v>
      </c>
    </row>
    <row r="718" spans="1:10" x14ac:dyDescent="0.25">
      <c r="A718" s="216" t="s">
        <v>810</v>
      </c>
      <c r="B718" s="122" t="s">
        <v>271</v>
      </c>
      <c r="C718" s="122" t="s">
        <v>930</v>
      </c>
      <c r="D718" s="122" t="s">
        <v>247</v>
      </c>
      <c r="E718" s="215">
        <v>33193</v>
      </c>
      <c r="F718" s="122" t="str">
        <f t="shared" si="54"/>
        <v>November</v>
      </c>
      <c r="G718" s="122">
        <f t="shared" ca="1" si="55"/>
        <v>26</v>
      </c>
      <c r="I718" s="214">
        <v>63610</v>
      </c>
      <c r="J718" s="213">
        <v>5</v>
      </c>
    </row>
    <row r="719" spans="1:10" x14ac:dyDescent="0.25">
      <c r="A719" s="216" t="s">
        <v>836</v>
      </c>
      <c r="B719" s="122" t="s">
        <v>280</v>
      </c>
      <c r="C719" s="122" t="s">
        <v>930</v>
      </c>
      <c r="D719" s="122" t="s">
        <v>256</v>
      </c>
      <c r="E719" s="215">
        <v>39171</v>
      </c>
      <c r="F719" s="122" t="str">
        <f t="shared" si="54"/>
        <v>March</v>
      </c>
      <c r="G719" s="122">
        <f t="shared" ca="1" si="55"/>
        <v>9</v>
      </c>
      <c r="H719" s="122" t="s">
        <v>267</v>
      </c>
      <c r="I719" s="214">
        <v>25690</v>
      </c>
      <c r="J719" s="213">
        <v>2</v>
      </c>
    </row>
    <row r="720" spans="1:10" x14ac:dyDescent="0.25">
      <c r="A720" s="216" t="s">
        <v>960</v>
      </c>
      <c r="B720" s="122" t="s">
        <v>251</v>
      </c>
      <c r="C720" s="122" t="s">
        <v>930</v>
      </c>
      <c r="D720" s="122" t="s">
        <v>256</v>
      </c>
      <c r="E720" s="215">
        <v>36843</v>
      </c>
      <c r="F720" s="122" t="str">
        <f t="shared" si="54"/>
        <v>November</v>
      </c>
      <c r="G720" s="122">
        <f t="shared" ca="1" si="55"/>
        <v>16</v>
      </c>
      <c r="H720" s="122" t="s">
        <v>283</v>
      </c>
      <c r="I720" s="214">
        <v>47630</v>
      </c>
      <c r="J720" s="213">
        <v>3</v>
      </c>
    </row>
    <row r="721" spans="1:10" x14ac:dyDescent="0.25">
      <c r="A721" s="216" t="s">
        <v>829</v>
      </c>
      <c r="B721" s="122" t="s">
        <v>285</v>
      </c>
      <c r="C721" s="122" t="s">
        <v>930</v>
      </c>
      <c r="D721" s="122" t="s">
        <v>256</v>
      </c>
      <c r="E721" s="215">
        <v>33681</v>
      </c>
      <c r="F721" s="122" t="str">
        <f t="shared" si="54"/>
        <v>March</v>
      </c>
      <c r="G721" s="122">
        <f t="shared" ca="1" si="55"/>
        <v>24</v>
      </c>
      <c r="H721" s="122" t="s">
        <v>262</v>
      </c>
      <c r="I721" s="214">
        <v>46550</v>
      </c>
      <c r="J721" s="213">
        <v>4</v>
      </c>
    </row>
    <row r="722" spans="1:10" x14ac:dyDescent="0.25">
      <c r="A722" s="216" t="s">
        <v>954</v>
      </c>
      <c r="B722" s="122" t="s">
        <v>271</v>
      </c>
      <c r="C722" s="122" t="s">
        <v>930</v>
      </c>
      <c r="D722" s="122" t="s">
        <v>247</v>
      </c>
      <c r="E722" s="215">
        <v>33977</v>
      </c>
      <c r="F722" s="122" t="str">
        <f t="shared" si="54"/>
        <v>January</v>
      </c>
      <c r="G722" s="122">
        <f t="shared" ca="1" si="55"/>
        <v>23</v>
      </c>
      <c r="I722" s="214">
        <v>63290</v>
      </c>
      <c r="J722" s="213">
        <v>5</v>
      </c>
    </row>
    <row r="723" spans="1:10" x14ac:dyDescent="0.25">
      <c r="A723" s="216" t="s">
        <v>339</v>
      </c>
      <c r="B723" s="122" t="s">
        <v>285</v>
      </c>
      <c r="C723" s="122" t="s">
        <v>930</v>
      </c>
      <c r="D723" s="122" t="s">
        <v>256</v>
      </c>
      <c r="E723" s="215">
        <v>36956</v>
      </c>
      <c r="F723" s="122" t="str">
        <f t="shared" si="54"/>
        <v>March</v>
      </c>
      <c r="G723" s="122">
        <f t="shared" ca="1" si="55"/>
        <v>15</v>
      </c>
      <c r="H723" s="122" t="s">
        <v>276</v>
      </c>
      <c r="I723" s="214">
        <v>49930</v>
      </c>
      <c r="J723" s="213">
        <v>1</v>
      </c>
    </row>
    <row r="724" spans="1:10" x14ac:dyDescent="0.25">
      <c r="A724" s="216" t="s">
        <v>901</v>
      </c>
      <c r="B724" s="122" t="s">
        <v>285</v>
      </c>
      <c r="C724" s="122" t="s">
        <v>930</v>
      </c>
      <c r="D724" s="122" t="s">
        <v>256</v>
      </c>
      <c r="E724" s="215">
        <v>36549</v>
      </c>
      <c r="F724" s="122" t="str">
        <f t="shared" ref="F724:F753" si="56">CHOOSE(MONTH(E724),"January","February","March","April","May","June","July","August","September","October","November","December")</f>
        <v>January</v>
      </c>
      <c r="G724" s="122">
        <f t="shared" ref="G724:G753" ca="1" si="57">DATEDIF(E724,TODAY(),"Y")</f>
        <v>16</v>
      </c>
      <c r="H724" s="122" t="s">
        <v>283</v>
      </c>
      <c r="I724" s="214">
        <v>35460</v>
      </c>
      <c r="J724" s="213">
        <v>1</v>
      </c>
    </row>
    <row r="725" spans="1:10" x14ac:dyDescent="0.25">
      <c r="A725" s="216" t="s">
        <v>521</v>
      </c>
      <c r="B725" s="122" t="s">
        <v>285</v>
      </c>
      <c r="C725" s="122" t="s">
        <v>930</v>
      </c>
      <c r="D725" s="122" t="s">
        <v>256</v>
      </c>
      <c r="E725" s="215">
        <v>36967</v>
      </c>
      <c r="F725" s="122" t="str">
        <f t="shared" si="56"/>
        <v>March</v>
      </c>
      <c r="G725" s="122">
        <f t="shared" ca="1" si="57"/>
        <v>15</v>
      </c>
      <c r="H725" s="122" t="s">
        <v>257</v>
      </c>
      <c r="I725" s="214">
        <v>63060</v>
      </c>
      <c r="J725" s="213">
        <v>4</v>
      </c>
    </row>
    <row r="726" spans="1:10" x14ac:dyDescent="0.25">
      <c r="A726" s="216" t="s">
        <v>358</v>
      </c>
      <c r="B726" s="122" t="s">
        <v>271</v>
      </c>
      <c r="C726" s="122" t="s">
        <v>930</v>
      </c>
      <c r="D726" s="122" t="s">
        <v>261</v>
      </c>
      <c r="E726" s="215">
        <v>34042</v>
      </c>
      <c r="F726" s="122" t="str">
        <f t="shared" si="56"/>
        <v>March</v>
      </c>
      <c r="G726" s="122">
        <f t="shared" ca="1" si="57"/>
        <v>23</v>
      </c>
      <c r="H726" s="122" t="s">
        <v>267</v>
      </c>
      <c r="I726" s="214">
        <v>27710</v>
      </c>
      <c r="J726" s="213">
        <v>3</v>
      </c>
    </row>
    <row r="727" spans="1:10" x14ac:dyDescent="0.25">
      <c r="A727" s="216" t="s">
        <v>509</v>
      </c>
      <c r="B727" s="122" t="s">
        <v>271</v>
      </c>
      <c r="C727" s="122" t="s">
        <v>930</v>
      </c>
      <c r="D727" s="122" t="s">
        <v>256</v>
      </c>
      <c r="E727" s="215">
        <v>33806</v>
      </c>
      <c r="F727" s="122" t="str">
        <f t="shared" si="56"/>
        <v>July</v>
      </c>
      <c r="G727" s="122">
        <f t="shared" ca="1" si="57"/>
        <v>24</v>
      </c>
      <c r="H727" s="122" t="s">
        <v>262</v>
      </c>
      <c r="I727" s="214">
        <v>62780</v>
      </c>
      <c r="J727" s="213">
        <v>3</v>
      </c>
    </row>
    <row r="728" spans="1:10" x14ac:dyDescent="0.25">
      <c r="A728" s="216" t="s">
        <v>953</v>
      </c>
      <c r="B728" s="122" t="s">
        <v>285</v>
      </c>
      <c r="C728" s="122" t="s">
        <v>930</v>
      </c>
      <c r="D728" s="122" t="s">
        <v>247</v>
      </c>
      <c r="E728" s="215">
        <v>33495</v>
      </c>
      <c r="F728" s="122" t="str">
        <f t="shared" si="56"/>
        <v>September</v>
      </c>
      <c r="G728" s="122">
        <f t="shared" ca="1" si="57"/>
        <v>25</v>
      </c>
      <c r="I728" s="214">
        <v>62480</v>
      </c>
      <c r="J728" s="213">
        <v>5</v>
      </c>
    </row>
    <row r="729" spans="1:10" x14ac:dyDescent="0.25">
      <c r="A729" s="216" t="s">
        <v>501</v>
      </c>
      <c r="B729" s="122" t="s">
        <v>271</v>
      </c>
      <c r="C729" s="122" t="s">
        <v>930</v>
      </c>
      <c r="D729" s="122" t="s">
        <v>256</v>
      </c>
      <c r="E729" s="215">
        <v>40680</v>
      </c>
      <c r="F729" s="122" t="str">
        <f t="shared" si="56"/>
        <v>May</v>
      </c>
      <c r="G729" s="122">
        <f t="shared" ca="1" si="57"/>
        <v>5</v>
      </c>
      <c r="H729" s="122" t="s">
        <v>276</v>
      </c>
      <c r="I729" s="214">
        <v>40260</v>
      </c>
      <c r="J729" s="213">
        <v>5</v>
      </c>
    </row>
    <row r="730" spans="1:10" x14ac:dyDescent="0.25">
      <c r="A730" s="216" t="s">
        <v>769</v>
      </c>
      <c r="B730" s="122" t="s">
        <v>271</v>
      </c>
      <c r="C730" s="122" t="s">
        <v>930</v>
      </c>
      <c r="D730" s="122" t="s">
        <v>256</v>
      </c>
      <c r="E730" s="215">
        <v>36330</v>
      </c>
      <c r="F730" s="122" t="str">
        <f t="shared" si="56"/>
        <v>June</v>
      </c>
      <c r="G730" s="122">
        <f t="shared" ca="1" si="57"/>
        <v>17</v>
      </c>
      <c r="H730" s="122" t="s">
        <v>276</v>
      </c>
      <c r="I730" s="214">
        <v>61850</v>
      </c>
      <c r="J730" s="213">
        <v>2</v>
      </c>
    </row>
    <row r="731" spans="1:10" x14ac:dyDescent="0.25">
      <c r="A731" s="216" t="s">
        <v>773</v>
      </c>
      <c r="B731" s="122" t="s">
        <v>285</v>
      </c>
      <c r="C731" s="122" t="s">
        <v>930</v>
      </c>
      <c r="D731" s="122" t="s">
        <v>256</v>
      </c>
      <c r="E731" s="215">
        <v>39283</v>
      </c>
      <c r="F731" s="122" t="str">
        <f t="shared" si="56"/>
        <v>July</v>
      </c>
      <c r="G731" s="122">
        <f t="shared" ca="1" si="57"/>
        <v>9</v>
      </c>
      <c r="H731" s="122" t="s">
        <v>257</v>
      </c>
      <c r="I731" s="214">
        <v>24980</v>
      </c>
      <c r="J731" s="213">
        <v>3</v>
      </c>
    </row>
    <row r="732" spans="1:10" x14ac:dyDescent="0.25">
      <c r="A732" s="216" t="s">
        <v>541</v>
      </c>
      <c r="B732" s="122" t="s">
        <v>271</v>
      </c>
      <c r="C732" s="122" t="s">
        <v>930</v>
      </c>
      <c r="D732" s="122" t="s">
        <v>256</v>
      </c>
      <c r="E732" s="215">
        <v>35364</v>
      </c>
      <c r="F732" s="122" t="str">
        <f t="shared" si="56"/>
        <v>October</v>
      </c>
      <c r="G732" s="122">
        <f t="shared" ca="1" si="57"/>
        <v>20</v>
      </c>
      <c r="H732" s="122" t="s">
        <v>257</v>
      </c>
      <c r="I732" s="214">
        <v>27130</v>
      </c>
      <c r="J732" s="213">
        <v>5</v>
      </c>
    </row>
    <row r="733" spans="1:10" x14ac:dyDescent="0.25">
      <c r="A733" s="216" t="s">
        <v>428</v>
      </c>
      <c r="B733" s="122" t="s">
        <v>280</v>
      </c>
      <c r="C733" s="122" t="s">
        <v>930</v>
      </c>
      <c r="D733" s="122" t="s">
        <v>247</v>
      </c>
      <c r="E733" s="215">
        <v>38438</v>
      </c>
      <c r="F733" s="122" t="str">
        <f t="shared" si="56"/>
        <v>March</v>
      </c>
      <c r="G733" s="122">
        <f t="shared" ca="1" si="57"/>
        <v>11</v>
      </c>
      <c r="I733" s="214">
        <v>32880</v>
      </c>
      <c r="J733" s="213">
        <v>3</v>
      </c>
    </row>
    <row r="734" spans="1:10" x14ac:dyDescent="0.25">
      <c r="A734" s="216" t="s">
        <v>824</v>
      </c>
      <c r="B734" s="122" t="s">
        <v>245</v>
      </c>
      <c r="C734" s="122" t="s">
        <v>930</v>
      </c>
      <c r="D734" s="122" t="s">
        <v>261</v>
      </c>
      <c r="E734" s="215">
        <v>34960</v>
      </c>
      <c r="F734" s="122" t="str">
        <f t="shared" si="56"/>
        <v>September</v>
      </c>
      <c r="G734" s="122">
        <f t="shared" ca="1" si="57"/>
        <v>21</v>
      </c>
      <c r="H734" s="122" t="s">
        <v>276</v>
      </c>
      <c r="I734" s="214">
        <v>23000</v>
      </c>
      <c r="J734" s="213">
        <v>4</v>
      </c>
    </row>
    <row r="735" spans="1:10" x14ac:dyDescent="0.25">
      <c r="A735" s="216" t="s">
        <v>435</v>
      </c>
      <c r="B735" s="122" t="s">
        <v>271</v>
      </c>
      <c r="C735" s="122" t="s">
        <v>930</v>
      </c>
      <c r="D735" s="122" t="s">
        <v>247</v>
      </c>
      <c r="E735" s="215">
        <v>33506</v>
      </c>
      <c r="F735" s="122" t="str">
        <f t="shared" si="56"/>
        <v>September</v>
      </c>
      <c r="G735" s="122">
        <f t="shared" ca="1" si="57"/>
        <v>25</v>
      </c>
      <c r="I735" s="214">
        <v>61134</v>
      </c>
      <c r="J735" s="213">
        <v>4</v>
      </c>
    </row>
    <row r="736" spans="1:10" x14ac:dyDescent="0.25">
      <c r="A736" s="216" t="s">
        <v>754</v>
      </c>
      <c r="B736" s="122" t="s">
        <v>285</v>
      </c>
      <c r="C736" s="122" t="s">
        <v>930</v>
      </c>
      <c r="D736" s="122" t="s">
        <v>261</v>
      </c>
      <c r="E736" s="215">
        <v>34005</v>
      </c>
      <c r="F736" s="122" t="str">
        <f t="shared" si="56"/>
        <v>February</v>
      </c>
      <c r="G736" s="122">
        <f t="shared" ca="1" si="57"/>
        <v>23</v>
      </c>
      <c r="H736" s="122" t="s">
        <v>257</v>
      </c>
      <c r="I736" s="214">
        <v>19935</v>
      </c>
      <c r="J736" s="213">
        <v>1</v>
      </c>
    </row>
    <row r="737" spans="1:10" x14ac:dyDescent="0.25">
      <c r="A737" s="216" t="s">
        <v>743</v>
      </c>
      <c r="B737" s="122" t="s">
        <v>251</v>
      </c>
      <c r="C737" s="122" t="s">
        <v>930</v>
      </c>
      <c r="D737" s="122" t="s">
        <v>256</v>
      </c>
      <c r="E737" s="215">
        <v>37495</v>
      </c>
      <c r="F737" s="122" t="str">
        <f t="shared" si="56"/>
        <v>August</v>
      </c>
      <c r="G737" s="122">
        <f t="shared" ca="1" si="57"/>
        <v>14</v>
      </c>
      <c r="H737" s="122" t="s">
        <v>276</v>
      </c>
      <c r="I737" s="214">
        <v>60300</v>
      </c>
      <c r="J737" s="213">
        <v>2</v>
      </c>
    </row>
    <row r="738" spans="1:10" x14ac:dyDescent="0.25">
      <c r="A738" s="216" t="s">
        <v>488</v>
      </c>
      <c r="B738" s="122" t="s">
        <v>285</v>
      </c>
      <c r="C738" s="122" t="s">
        <v>930</v>
      </c>
      <c r="D738" s="122" t="s">
        <v>261</v>
      </c>
      <c r="E738" s="215">
        <v>36918</v>
      </c>
      <c r="F738" s="122" t="str">
        <f t="shared" si="56"/>
        <v>January</v>
      </c>
      <c r="G738" s="122">
        <f t="shared" ca="1" si="57"/>
        <v>15</v>
      </c>
      <c r="H738" s="122" t="s">
        <v>257</v>
      </c>
      <c r="I738" s="214">
        <v>17205</v>
      </c>
      <c r="J738" s="213">
        <v>5</v>
      </c>
    </row>
    <row r="739" spans="1:10" x14ac:dyDescent="0.25">
      <c r="A739" s="216" t="s">
        <v>549</v>
      </c>
      <c r="B739" s="122" t="s">
        <v>245</v>
      </c>
      <c r="C739" s="122" t="s">
        <v>930</v>
      </c>
      <c r="D739" s="122" t="s">
        <v>261</v>
      </c>
      <c r="E739" s="215">
        <v>35518</v>
      </c>
      <c r="F739" s="122" t="str">
        <f t="shared" si="56"/>
        <v>March</v>
      </c>
      <c r="G739" s="122">
        <f t="shared" ca="1" si="57"/>
        <v>19</v>
      </c>
      <c r="H739" s="122" t="s">
        <v>262</v>
      </c>
      <c r="I739" s="214">
        <v>13690</v>
      </c>
      <c r="J739" s="213">
        <v>5</v>
      </c>
    </row>
    <row r="740" spans="1:10" x14ac:dyDescent="0.25">
      <c r="A740" s="216" t="s">
        <v>701</v>
      </c>
      <c r="B740" s="122" t="s">
        <v>271</v>
      </c>
      <c r="C740" s="122" t="s">
        <v>930</v>
      </c>
      <c r="D740" s="122" t="s">
        <v>256</v>
      </c>
      <c r="E740" s="215">
        <v>33957</v>
      </c>
      <c r="F740" s="122" t="str">
        <f t="shared" si="56"/>
        <v>December</v>
      </c>
      <c r="G740" s="122">
        <f t="shared" ca="1" si="57"/>
        <v>23</v>
      </c>
      <c r="H740" s="122" t="s">
        <v>262</v>
      </c>
      <c r="I740" s="214">
        <v>59490</v>
      </c>
      <c r="J740" s="213">
        <v>3</v>
      </c>
    </row>
    <row r="741" spans="1:10" x14ac:dyDescent="0.25">
      <c r="A741" s="216" t="s">
        <v>676</v>
      </c>
      <c r="B741" s="122" t="s">
        <v>245</v>
      </c>
      <c r="C741" s="122" t="s">
        <v>930</v>
      </c>
      <c r="D741" s="122" t="s">
        <v>247</v>
      </c>
      <c r="E741" s="215">
        <v>33789</v>
      </c>
      <c r="F741" s="122" t="str">
        <f t="shared" si="56"/>
        <v>July</v>
      </c>
      <c r="G741" s="122">
        <f t="shared" ca="1" si="57"/>
        <v>24</v>
      </c>
      <c r="I741" s="214">
        <v>59128</v>
      </c>
      <c r="J741" s="213">
        <v>4</v>
      </c>
    </row>
    <row r="742" spans="1:10" x14ac:dyDescent="0.25">
      <c r="A742" s="216" t="s">
        <v>402</v>
      </c>
      <c r="B742" s="122" t="s">
        <v>285</v>
      </c>
      <c r="C742" s="122" t="s">
        <v>930</v>
      </c>
      <c r="D742" s="122" t="s">
        <v>256</v>
      </c>
      <c r="E742" s="215">
        <v>35276</v>
      </c>
      <c r="F742" s="122" t="str">
        <f t="shared" si="56"/>
        <v>July</v>
      </c>
      <c r="G742" s="122">
        <f t="shared" ca="1" si="57"/>
        <v>20</v>
      </c>
      <c r="H742" s="122" t="s">
        <v>257</v>
      </c>
      <c r="I742" s="214">
        <v>58370</v>
      </c>
      <c r="J742" s="213">
        <v>5</v>
      </c>
    </row>
    <row r="743" spans="1:10" x14ac:dyDescent="0.25">
      <c r="A743" s="216" t="s">
        <v>719</v>
      </c>
      <c r="B743" s="122" t="s">
        <v>245</v>
      </c>
      <c r="C743" s="122" t="s">
        <v>930</v>
      </c>
      <c r="D743" s="122" t="s">
        <v>247</v>
      </c>
      <c r="E743" s="215">
        <v>36193</v>
      </c>
      <c r="F743" s="122" t="str">
        <f t="shared" si="56"/>
        <v>February</v>
      </c>
      <c r="G743" s="122">
        <f t="shared" ca="1" si="57"/>
        <v>17</v>
      </c>
      <c r="I743" s="214">
        <v>58250</v>
      </c>
      <c r="J743" s="213">
        <v>2</v>
      </c>
    </row>
    <row r="744" spans="1:10" x14ac:dyDescent="0.25">
      <c r="A744" s="216" t="s">
        <v>361</v>
      </c>
      <c r="B744" s="122" t="s">
        <v>285</v>
      </c>
      <c r="C744" s="122" t="s">
        <v>930</v>
      </c>
      <c r="D744" s="122" t="s">
        <v>247</v>
      </c>
      <c r="E744" s="215">
        <v>33562</v>
      </c>
      <c r="F744" s="122" t="str">
        <f t="shared" si="56"/>
        <v>November</v>
      </c>
      <c r="G744" s="122">
        <f t="shared" ca="1" si="57"/>
        <v>24</v>
      </c>
      <c r="I744" s="214">
        <v>57500</v>
      </c>
      <c r="J744" s="213">
        <v>1</v>
      </c>
    </row>
    <row r="745" spans="1:10" x14ac:dyDescent="0.25">
      <c r="A745" s="216" t="s">
        <v>399</v>
      </c>
      <c r="B745" s="122" t="s">
        <v>266</v>
      </c>
      <c r="C745" s="122" t="s">
        <v>930</v>
      </c>
      <c r="D745" s="122" t="s">
        <v>256</v>
      </c>
      <c r="E745" s="215">
        <v>33921</v>
      </c>
      <c r="F745" s="122" t="str">
        <f t="shared" si="56"/>
        <v>November</v>
      </c>
      <c r="G745" s="122">
        <f t="shared" ca="1" si="57"/>
        <v>24</v>
      </c>
      <c r="H745" s="122" t="s">
        <v>267</v>
      </c>
      <c r="I745" s="214">
        <v>32160</v>
      </c>
      <c r="J745" s="213">
        <v>3</v>
      </c>
    </row>
    <row r="746" spans="1:10" x14ac:dyDescent="0.25">
      <c r="A746" s="216" t="s">
        <v>461</v>
      </c>
      <c r="B746" s="122" t="s">
        <v>280</v>
      </c>
      <c r="C746" s="122" t="s">
        <v>930</v>
      </c>
      <c r="D746" s="122" t="s">
        <v>247</v>
      </c>
      <c r="E746" s="215">
        <v>33413</v>
      </c>
      <c r="F746" s="122" t="str">
        <f t="shared" si="56"/>
        <v>June</v>
      </c>
      <c r="G746" s="122">
        <f t="shared" ca="1" si="57"/>
        <v>25</v>
      </c>
      <c r="I746" s="214">
        <v>26020</v>
      </c>
      <c r="J746" s="213">
        <v>5</v>
      </c>
    </row>
    <row r="747" spans="1:10" x14ac:dyDescent="0.25">
      <c r="A747" s="216" t="s">
        <v>526</v>
      </c>
      <c r="B747" s="122" t="s">
        <v>285</v>
      </c>
      <c r="C747" s="122" t="s">
        <v>930</v>
      </c>
      <c r="D747" s="122" t="s">
        <v>247</v>
      </c>
      <c r="E747" s="215">
        <v>40563</v>
      </c>
      <c r="F747" s="122" t="str">
        <f t="shared" si="56"/>
        <v>January</v>
      </c>
      <c r="G747" s="122">
        <f t="shared" ca="1" si="57"/>
        <v>5</v>
      </c>
      <c r="I747" s="214">
        <v>55510</v>
      </c>
      <c r="J747" s="213">
        <v>3</v>
      </c>
    </row>
    <row r="748" spans="1:10" x14ac:dyDescent="0.25">
      <c r="A748" s="216" t="s">
        <v>983</v>
      </c>
      <c r="B748" s="122" t="s">
        <v>285</v>
      </c>
      <c r="C748" s="122" t="s">
        <v>930</v>
      </c>
      <c r="D748" s="122" t="s">
        <v>256</v>
      </c>
      <c r="E748" s="215">
        <v>37810</v>
      </c>
      <c r="F748" s="122" t="str">
        <f t="shared" si="56"/>
        <v>July</v>
      </c>
      <c r="G748" s="122">
        <f t="shared" ca="1" si="57"/>
        <v>13</v>
      </c>
      <c r="H748" s="122" t="s">
        <v>283</v>
      </c>
      <c r="I748" s="214">
        <v>48010</v>
      </c>
      <c r="J748" s="213">
        <v>3</v>
      </c>
    </row>
    <row r="749" spans="1:10" x14ac:dyDescent="0.25">
      <c r="A749" s="216" t="s">
        <v>427</v>
      </c>
      <c r="B749" s="122" t="s">
        <v>266</v>
      </c>
      <c r="C749" s="122" t="s">
        <v>930</v>
      </c>
      <c r="D749" s="122" t="s">
        <v>247</v>
      </c>
      <c r="E749" s="215">
        <v>37141</v>
      </c>
      <c r="F749" s="122" t="str">
        <f t="shared" si="56"/>
        <v>September</v>
      </c>
      <c r="G749" s="122">
        <f t="shared" ca="1" si="57"/>
        <v>15</v>
      </c>
      <c r="I749" s="214">
        <v>25530</v>
      </c>
      <c r="J749" s="213">
        <v>3</v>
      </c>
    </row>
    <row r="750" spans="1:10" x14ac:dyDescent="0.25">
      <c r="A750" s="216" t="s">
        <v>414</v>
      </c>
      <c r="B750" s="122" t="s">
        <v>285</v>
      </c>
      <c r="C750" s="122" t="s">
        <v>930</v>
      </c>
      <c r="D750" s="122" t="s">
        <v>256</v>
      </c>
      <c r="E750" s="215">
        <v>40568</v>
      </c>
      <c r="F750" s="122" t="str">
        <f t="shared" si="56"/>
        <v>January</v>
      </c>
      <c r="G750" s="122">
        <f t="shared" ca="1" si="57"/>
        <v>5</v>
      </c>
      <c r="H750" s="122" t="s">
        <v>257</v>
      </c>
      <c r="I750" s="214">
        <v>46390</v>
      </c>
      <c r="J750" s="213">
        <v>5</v>
      </c>
    </row>
    <row r="751" spans="1:10" x14ac:dyDescent="0.25">
      <c r="A751" s="216" t="s">
        <v>413</v>
      </c>
      <c r="B751" s="122" t="s">
        <v>285</v>
      </c>
      <c r="C751" s="122" t="s">
        <v>930</v>
      </c>
      <c r="D751" s="122" t="s">
        <v>261</v>
      </c>
      <c r="E751" s="215">
        <v>34140</v>
      </c>
      <c r="F751" s="122" t="str">
        <f t="shared" si="56"/>
        <v>June</v>
      </c>
      <c r="G751" s="122">
        <f t="shared" ca="1" si="57"/>
        <v>23</v>
      </c>
      <c r="H751" s="122" t="s">
        <v>276</v>
      </c>
      <c r="I751" s="214">
        <v>11230</v>
      </c>
      <c r="J751" s="213">
        <v>4</v>
      </c>
    </row>
    <row r="752" spans="1:10" x14ac:dyDescent="0.25">
      <c r="A752" s="216" t="s">
        <v>989</v>
      </c>
      <c r="B752" s="122" t="s">
        <v>271</v>
      </c>
      <c r="C752" s="122" t="s">
        <v>930</v>
      </c>
      <c r="D752" s="122" t="s">
        <v>256</v>
      </c>
      <c r="E752" s="215">
        <v>33279</v>
      </c>
      <c r="F752" s="122" t="str">
        <f t="shared" si="56"/>
        <v>February</v>
      </c>
      <c r="G752" s="122">
        <f t="shared" ca="1" si="57"/>
        <v>25</v>
      </c>
      <c r="H752" s="122" t="s">
        <v>257</v>
      </c>
      <c r="I752" s="214">
        <v>24200</v>
      </c>
      <c r="J752" s="213">
        <v>5</v>
      </c>
    </row>
    <row r="753" spans="1:10" x14ac:dyDescent="0.25">
      <c r="A753" s="216" t="s">
        <v>725</v>
      </c>
      <c r="B753" s="122" t="s">
        <v>271</v>
      </c>
      <c r="C753" s="122" t="s">
        <v>930</v>
      </c>
      <c r="D753" s="122" t="s">
        <v>256</v>
      </c>
      <c r="E753" s="215">
        <v>40680</v>
      </c>
      <c r="F753" s="122" t="str">
        <f t="shared" si="56"/>
        <v>May</v>
      </c>
      <c r="G753" s="122">
        <f t="shared" ca="1" si="57"/>
        <v>5</v>
      </c>
      <c r="H753" s="122" t="s">
        <v>257</v>
      </c>
      <c r="I753" s="214">
        <v>23030</v>
      </c>
      <c r="J753" s="213">
        <v>4</v>
      </c>
    </row>
    <row r="754" spans="1:10" x14ac:dyDescent="0.25">
      <c r="A754" s="217" t="s">
        <v>1025</v>
      </c>
    </row>
    <row r="755" spans="1:10" x14ac:dyDescent="0.25">
      <c r="A755" s="216" t="s">
        <v>732</v>
      </c>
      <c r="B755" s="122" t="s">
        <v>245</v>
      </c>
      <c r="C755" s="122" t="s">
        <v>1025</v>
      </c>
      <c r="D755" s="122" t="s">
        <v>256</v>
      </c>
      <c r="E755" s="215">
        <v>37073</v>
      </c>
      <c r="F755" s="122" t="str">
        <f>CHOOSE(MONTH(E755),"January","February","March","April","May","June","July","August","September","October","November","December")</f>
        <v>July</v>
      </c>
      <c r="G755" s="122">
        <f ca="1">DATEDIF(E755,TODAY(),"Y")</f>
        <v>15</v>
      </c>
      <c r="H755" s="122" t="s">
        <v>276</v>
      </c>
      <c r="I755" s="214">
        <v>40680</v>
      </c>
      <c r="J755" s="213">
        <v>5</v>
      </c>
    </row>
    <row r="756" spans="1:10" x14ac:dyDescent="0.25">
      <c r="A756" s="216" t="s">
        <v>1022</v>
      </c>
      <c r="B756" s="122" t="s">
        <v>245</v>
      </c>
      <c r="C756" s="122" t="s">
        <v>1025</v>
      </c>
      <c r="D756" s="122" t="s">
        <v>247</v>
      </c>
      <c r="E756" s="215">
        <v>33387</v>
      </c>
      <c r="F756" s="122" t="str">
        <f>CHOOSE(MONTH(E756),"January","February","March","April","May","June","July","August","September","October","November","December")</f>
        <v>May</v>
      </c>
      <c r="G756" s="122">
        <f ca="1">DATEDIF(E756,TODAY(),"Y")</f>
        <v>25</v>
      </c>
      <c r="I756" s="214">
        <v>85510</v>
      </c>
      <c r="J756" s="213">
        <v>4</v>
      </c>
    </row>
    <row r="757" spans="1:10" x14ac:dyDescent="0.25">
      <c r="A757" s="216" t="s">
        <v>400</v>
      </c>
      <c r="B757" s="122" t="s">
        <v>266</v>
      </c>
      <c r="C757" s="122" t="s">
        <v>1025</v>
      </c>
      <c r="D757" s="122" t="s">
        <v>256</v>
      </c>
      <c r="E757" s="215">
        <v>37684</v>
      </c>
      <c r="F757" s="122" t="str">
        <f>CHOOSE(MONTH(E757),"January","February","March","April","May","June","July","August","September","October","November","December")</f>
        <v>March</v>
      </c>
      <c r="G757" s="122">
        <f ca="1">DATEDIF(E757,TODAY(),"Y")</f>
        <v>13</v>
      </c>
      <c r="H757" s="122" t="s">
        <v>283</v>
      </c>
      <c r="I757" s="214">
        <v>42800</v>
      </c>
      <c r="J757" s="213">
        <v>5</v>
      </c>
    </row>
    <row r="758" spans="1:10" x14ac:dyDescent="0.25">
      <c r="A758" s="216" t="s">
        <v>673</v>
      </c>
      <c r="B758" s="122" t="s">
        <v>271</v>
      </c>
      <c r="C758" s="122" t="s">
        <v>1025</v>
      </c>
      <c r="D758" s="122" t="s">
        <v>247</v>
      </c>
      <c r="E758" s="215">
        <v>40719</v>
      </c>
      <c r="F758" s="122" t="str">
        <f>CHOOSE(MONTH(E758),"January","February","March","April","May","June","July","August","September","October","November","December")</f>
        <v>June</v>
      </c>
      <c r="G758" s="122">
        <f ca="1">DATEDIF(E758,TODAY(),"Y")</f>
        <v>5</v>
      </c>
      <c r="I758" s="214">
        <v>66132</v>
      </c>
      <c r="J758" s="213">
        <v>4</v>
      </c>
    </row>
    <row r="759" spans="1:10" x14ac:dyDescent="0.25">
      <c r="A759" s="216" t="s">
        <v>302</v>
      </c>
      <c r="B759" s="122" t="s">
        <v>271</v>
      </c>
      <c r="C759" s="122" t="s">
        <v>1025</v>
      </c>
      <c r="D759" s="122" t="s">
        <v>256</v>
      </c>
      <c r="E759" s="215">
        <v>36991</v>
      </c>
      <c r="F759" s="122" t="str">
        <f>CHOOSE(MONTH(E759),"January","February","March","April","May","June","July","August","September","October","November","December")</f>
        <v>April</v>
      </c>
      <c r="G759" s="122">
        <f ca="1">DATEDIF(E759,TODAY(),"Y")</f>
        <v>15</v>
      </c>
      <c r="H759" s="122" t="s">
        <v>257</v>
      </c>
      <c r="I759" s="214">
        <v>63670</v>
      </c>
      <c r="J759" s="213">
        <v>5</v>
      </c>
    </row>
    <row r="760" spans="1:10" x14ac:dyDescent="0.25">
      <c r="A760" s="217" t="s">
        <v>1031</v>
      </c>
    </row>
    <row r="761" spans="1:10" x14ac:dyDescent="0.25">
      <c r="A761" s="216" t="s">
        <v>405</v>
      </c>
      <c r="B761" s="122" t="s">
        <v>266</v>
      </c>
      <c r="C761" s="122" t="s">
        <v>1031</v>
      </c>
      <c r="D761" s="122" t="s">
        <v>252</v>
      </c>
      <c r="E761" s="215">
        <v>40543</v>
      </c>
      <c r="F761" s="122" t="str">
        <f>CHOOSE(MONTH(E761),"January","February","March","April","May","June","July","August","September","October","November","December")</f>
        <v>December</v>
      </c>
      <c r="G761" s="122">
        <f ca="1">DATEDIF(E761,TODAY(),"Y")</f>
        <v>5</v>
      </c>
      <c r="I761" s="214">
        <v>19044</v>
      </c>
      <c r="J761" s="213">
        <v>1</v>
      </c>
    </row>
    <row r="762" spans="1:10" x14ac:dyDescent="0.25">
      <c r="A762" s="216" t="s">
        <v>561</v>
      </c>
      <c r="B762" s="122" t="s">
        <v>266</v>
      </c>
      <c r="C762" s="122" t="s">
        <v>1031</v>
      </c>
      <c r="D762" s="122" t="s">
        <v>261</v>
      </c>
      <c r="E762" s="215">
        <v>36557</v>
      </c>
      <c r="F762" s="122" t="str">
        <f>CHOOSE(MONTH(E762),"January","February","March","April","May","June","July","August","September","October","November","December")</f>
        <v>February</v>
      </c>
      <c r="G762" s="122">
        <f ca="1">DATEDIF(E762,TODAY(),"Y")</f>
        <v>16</v>
      </c>
      <c r="H762" s="122" t="s">
        <v>257</v>
      </c>
      <c r="I762" s="214">
        <v>31250</v>
      </c>
      <c r="J762" s="213">
        <v>2</v>
      </c>
    </row>
    <row r="763" spans="1:10" x14ac:dyDescent="0.25">
      <c r="A763" s="216" t="s">
        <v>406</v>
      </c>
      <c r="B763" s="122" t="s">
        <v>285</v>
      </c>
      <c r="C763" s="122" t="s">
        <v>1031</v>
      </c>
      <c r="D763" s="122" t="s">
        <v>247</v>
      </c>
      <c r="E763" s="215">
        <v>34525</v>
      </c>
      <c r="F763" s="122" t="str">
        <f>CHOOSE(MONTH(E763),"January","February","March","April","May","June","July","August","September","October","November","December")</f>
        <v>July</v>
      </c>
      <c r="G763" s="122">
        <f ca="1">DATEDIF(E763,TODAY(),"Y")</f>
        <v>22</v>
      </c>
      <c r="I763" s="214">
        <v>64720</v>
      </c>
      <c r="J763" s="213">
        <v>5</v>
      </c>
    </row>
    <row r="764" spans="1:10" x14ac:dyDescent="0.25">
      <c r="A764" s="216" t="s">
        <v>894</v>
      </c>
      <c r="B764" s="122" t="s">
        <v>285</v>
      </c>
      <c r="C764" s="122" t="s">
        <v>1031</v>
      </c>
      <c r="D764" s="122" t="s">
        <v>247</v>
      </c>
      <c r="E764" s="215">
        <v>34003</v>
      </c>
      <c r="F764" s="122" t="str">
        <f>CHOOSE(MONTH(E764),"January","February","March","April","May","June","July","August","September","October","November","December")</f>
        <v>February</v>
      </c>
      <c r="G764" s="122">
        <f ca="1">DATEDIF(E764,TODAY(),"Y")</f>
        <v>23</v>
      </c>
      <c r="I764" s="214">
        <v>60760</v>
      </c>
      <c r="J764" s="213">
        <v>2</v>
      </c>
    </row>
    <row r="765" spans="1:10" x14ac:dyDescent="0.25">
      <c r="A765" s="216" t="s">
        <v>737</v>
      </c>
      <c r="B765" s="122" t="s">
        <v>251</v>
      </c>
      <c r="C765" s="122" t="s">
        <v>1031</v>
      </c>
      <c r="D765" s="122" t="s">
        <v>256</v>
      </c>
      <c r="E765" s="215">
        <v>40384</v>
      </c>
      <c r="F765" s="122" t="str">
        <f>CHOOSE(MONTH(E765),"January","February","March","April","May","June","July","August","September","October","November","December")</f>
        <v>July</v>
      </c>
      <c r="G765" s="122">
        <f ca="1">DATEDIF(E765,TODAY(),"Y")</f>
        <v>6</v>
      </c>
      <c r="H765" s="122" t="s">
        <v>257</v>
      </c>
      <c r="I765" s="214">
        <v>46680</v>
      </c>
      <c r="J765" s="213">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CCFF"/>
    <pageSetUpPr autoPageBreaks="0"/>
  </sheetPr>
  <dimension ref="A1:L764"/>
  <sheetViews>
    <sheetView topLeftCell="A229" zoomScale="115" zoomScaleNormal="115" zoomScaleSheetLayoutView="100" workbookViewId="0">
      <selection activeCell="B35" sqref="B35"/>
    </sheetView>
  </sheetViews>
  <sheetFormatPr defaultColWidth="19.85546875" defaultRowHeight="13.5" x14ac:dyDescent="0.25"/>
  <cols>
    <col min="1" max="1" width="19.5703125" style="91" bestFit="1" customWidth="1"/>
    <col min="2" max="2" width="8.28515625" style="91" bestFit="1" customWidth="1"/>
    <col min="3" max="3" width="27.28515625" style="91" bestFit="1" customWidth="1"/>
    <col min="4" max="4" width="12.42578125" style="91" bestFit="1" customWidth="1"/>
    <col min="5" max="5" width="14.85546875" style="91" bestFit="1" customWidth="1"/>
    <col min="6" max="6" width="9.7109375" style="91" bestFit="1" customWidth="1"/>
    <col min="7" max="7" width="10.7109375" style="91" bestFit="1" customWidth="1"/>
    <col min="8" max="8" width="10.85546875" style="91" bestFit="1" customWidth="1"/>
    <col min="9" max="9" width="6" style="91" bestFit="1" customWidth="1"/>
    <col min="10" max="11" width="8.42578125" style="91" bestFit="1" customWidth="1"/>
    <col min="12" max="12" width="10.140625" style="91" bestFit="1" customWidth="1"/>
    <col min="13" max="16384" width="19.85546875" style="91"/>
  </cols>
  <sheetData>
    <row r="1" spans="1:12" ht="15" x14ac:dyDescent="0.25">
      <c r="A1" s="26" t="s">
        <v>229</v>
      </c>
      <c r="B1" s="27" t="s">
        <v>230</v>
      </c>
      <c r="C1" s="28" t="s">
        <v>231</v>
      </c>
      <c r="D1" s="29" t="s">
        <v>232</v>
      </c>
      <c r="E1" s="30" t="s">
        <v>233</v>
      </c>
      <c r="F1" s="28" t="s">
        <v>234</v>
      </c>
      <c r="G1" s="31" t="s">
        <v>235</v>
      </c>
      <c r="H1" s="31" t="s">
        <v>236</v>
      </c>
      <c r="I1" s="33" t="s">
        <v>237</v>
      </c>
      <c r="J1" s="28" t="s">
        <v>238</v>
      </c>
      <c r="K1" s="34" t="s">
        <v>239</v>
      </c>
      <c r="L1" s="27" t="s">
        <v>240</v>
      </c>
    </row>
    <row r="2" spans="1:12" ht="15" x14ac:dyDescent="0.25">
      <c r="A2" s="39" t="s">
        <v>863</v>
      </c>
      <c r="B2" s="46" t="s">
        <v>251</v>
      </c>
      <c r="C2" s="45" t="s">
        <v>246</v>
      </c>
      <c r="D2" s="47">
        <v>411526157</v>
      </c>
      <c r="E2" s="48">
        <v>9195818082</v>
      </c>
      <c r="F2" s="45" t="s">
        <v>252</v>
      </c>
      <c r="G2" s="105">
        <v>33846</v>
      </c>
      <c r="H2" s="105" t="str">
        <f>CHOOSE(MONTH(G2),"January","February","March","April","May","June","July","August","September","October","November","December")</f>
        <v>August</v>
      </c>
      <c r="I2" s="51">
        <f ca="1">DATEDIF(G2,TODAY(),"Y")</f>
        <v>24</v>
      </c>
      <c r="J2" s="52"/>
      <c r="K2" s="53">
        <v>35680</v>
      </c>
      <c r="L2" s="54">
        <v>2</v>
      </c>
    </row>
    <row r="3" spans="1:12" ht="15" x14ac:dyDescent="0.25">
      <c r="A3" s="39" t="s">
        <v>357</v>
      </c>
      <c r="B3" s="46" t="s">
        <v>245</v>
      </c>
      <c r="C3" s="45" t="s">
        <v>246</v>
      </c>
      <c r="D3" s="47">
        <v>914428485</v>
      </c>
      <c r="E3" s="48">
        <v>2521774590</v>
      </c>
      <c r="F3" s="45" t="s">
        <v>261</v>
      </c>
      <c r="G3" s="105">
        <v>33290</v>
      </c>
      <c r="H3" s="105" t="str">
        <f>CHOOSE(MONTH(G3),"January","February","March","April","May","June","July","August","September","October","November","December")</f>
        <v>February</v>
      </c>
      <c r="I3" s="51">
        <f ca="1">DATEDIF(G3,TODAY(),"Y")</f>
        <v>25</v>
      </c>
      <c r="J3" s="52" t="s">
        <v>262</v>
      </c>
      <c r="K3" s="53">
        <v>26795</v>
      </c>
      <c r="L3" s="54">
        <v>4</v>
      </c>
    </row>
    <row r="4" spans="1:12" ht="15" x14ac:dyDescent="0.25">
      <c r="A4" s="39" t="s">
        <v>740</v>
      </c>
      <c r="B4" s="46" t="s">
        <v>266</v>
      </c>
      <c r="C4" s="45" t="s">
        <v>246</v>
      </c>
      <c r="D4" s="47">
        <v>991656720</v>
      </c>
      <c r="E4" s="48">
        <v>2528138394</v>
      </c>
      <c r="F4" s="45" t="s">
        <v>256</v>
      </c>
      <c r="G4" s="105">
        <v>39447</v>
      </c>
      <c r="H4" s="105" t="str">
        <f>CHOOSE(MONTH(G4),"January","February","March","April","May","June","July","August","September","October","November","December")</f>
        <v>December</v>
      </c>
      <c r="I4" s="51">
        <f ca="1">DATEDIF(G4,TODAY(),"Y")</f>
        <v>8</v>
      </c>
      <c r="J4" s="52" t="s">
        <v>267</v>
      </c>
      <c r="K4" s="53">
        <v>72830</v>
      </c>
      <c r="L4" s="54">
        <v>2</v>
      </c>
    </row>
    <row r="5" spans="1:12" ht="15" x14ac:dyDescent="0.25">
      <c r="A5" s="39" t="s">
        <v>790</v>
      </c>
      <c r="B5" s="46" t="s">
        <v>245</v>
      </c>
      <c r="C5" s="45" t="s">
        <v>246</v>
      </c>
      <c r="D5" s="47">
        <v>948195711</v>
      </c>
      <c r="E5" s="48">
        <v>2523539786</v>
      </c>
      <c r="F5" s="45" t="s">
        <v>247</v>
      </c>
      <c r="G5" s="105">
        <v>39147</v>
      </c>
      <c r="H5" s="105" t="str">
        <f>CHOOSE(MONTH(G5),"January","February","March","April","May","June","July","August","September","October","November","December")</f>
        <v>March</v>
      </c>
      <c r="I5" s="51">
        <f ca="1">DATEDIF(G5,TODAY(),"Y")</f>
        <v>9</v>
      </c>
      <c r="J5" s="52"/>
      <c r="K5" s="53">
        <v>42540</v>
      </c>
      <c r="L5" s="54">
        <v>5</v>
      </c>
    </row>
    <row r="6" spans="1:12" ht="15" x14ac:dyDescent="0.25">
      <c r="A6" s="39" t="s">
        <v>951</v>
      </c>
      <c r="B6" s="46" t="s">
        <v>245</v>
      </c>
      <c r="C6" s="45" t="s">
        <v>246</v>
      </c>
      <c r="D6" s="47">
        <v>100432924</v>
      </c>
      <c r="E6" s="48">
        <v>4022804104</v>
      </c>
      <c r="F6" s="45" t="s">
        <v>256</v>
      </c>
      <c r="G6" s="105">
        <v>36171</v>
      </c>
      <c r="H6" s="105" t="str">
        <f>CHOOSE(MONTH(G6),"January","February","March","April","May","June","July","August","September","October","November","December")</f>
        <v>January</v>
      </c>
      <c r="I6" s="51">
        <f ca="1">DATEDIF(G6,TODAY(),"Y")</f>
        <v>17</v>
      </c>
      <c r="J6" s="52" t="s">
        <v>257</v>
      </c>
      <c r="K6" s="53">
        <v>24550</v>
      </c>
      <c r="L6" s="54">
        <v>1</v>
      </c>
    </row>
    <row r="7" spans="1:12" ht="15" x14ac:dyDescent="0.25">
      <c r="A7" s="39"/>
      <c r="B7" s="46"/>
      <c r="C7" s="115"/>
      <c r="D7" s="47"/>
      <c r="E7" s="48"/>
      <c r="F7" s="45"/>
      <c r="G7" s="105"/>
      <c r="H7" s="105"/>
      <c r="I7" s="51"/>
      <c r="J7" s="52"/>
      <c r="K7" s="53"/>
      <c r="L7" s="54"/>
    </row>
    <row r="8" spans="1:12" ht="15" x14ac:dyDescent="0.25">
      <c r="A8" s="39" t="s">
        <v>946</v>
      </c>
      <c r="B8" s="46" t="s">
        <v>280</v>
      </c>
      <c r="C8" s="45" t="s">
        <v>272</v>
      </c>
      <c r="D8" s="47">
        <v>475256935</v>
      </c>
      <c r="E8" s="48">
        <v>2527852326</v>
      </c>
      <c r="F8" s="45" t="s">
        <v>256</v>
      </c>
      <c r="G8" s="105">
        <v>35742</v>
      </c>
      <c r="H8" s="105" t="str">
        <f t="shared" ref="H8:H24" si="0">CHOOSE(MONTH(G8),"January","February","March","April","May","June","July","August","September","October","November","December")</f>
        <v>November</v>
      </c>
      <c r="I8" s="51">
        <f t="shared" ref="I8:I24" ca="1" si="1">DATEDIF(G8,TODAY(),"Y")</f>
        <v>19</v>
      </c>
      <c r="J8" s="52" t="s">
        <v>283</v>
      </c>
      <c r="K8" s="53">
        <v>85300</v>
      </c>
      <c r="L8" s="54">
        <v>2</v>
      </c>
    </row>
    <row r="9" spans="1:12" ht="15" x14ac:dyDescent="0.25">
      <c r="A9" s="39" t="s">
        <v>552</v>
      </c>
      <c r="B9" s="46" t="s">
        <v>271</v>
      </c>
      <c r="C9" s="45" t="s">
        <v>272</v>
      </c>
      <c r="D9" s="47">
        <v>535539723</v>
      </c>
      <c r="E9" s="48">
        <v>2523492633</v>
      </c>
      <c r="F9" s="45" t="s">
        <v>261</v>
      </c>
      <c r="G9" s="105">
        <v>33474</v>
      </c>
      <c r="H9" s="105" t="str">
        <f t="shared" si="0"/>
        <v>August</v>
      </c>
      <c r="I9" s="51">
        <f t="shared" ca="1" si="1"/>
        <v>25</v>
      </c>
      <c r="J9" s="52" t="s">
        <v>262</v>
      </c>
      <c r="K9" s="53">
        <v>30445</v>
      </c>
      <c r="L9" s="54">
        <v>1</v>
      </c>
    </row>
    <row r="10" spans="1:12" ht="15" x14ac:dyDescent="0.25">
      <c r="A10" s="39" t="s">
        <v>717</v>
      </c>
      <c r="B10" s="46" t="s">
        <v>285</v>
      </c>
      <c r="C10" s="39" t="s">
        <v>272</v>
      </c>
      <c r="D10" s="72">
        <v>608796012</v>
      </c>
      <c r="E10" s="73">
        <v>9194075460</v>
      </c>
      <c r="F10" s="39" t="s">
        <v>256</v>
      </c>
      <c r="G10" s="81">
        <v>33831</v>
      </c>
      <c r="H10" s="105" t="str">
        <f t="shared" si="0"/>
        <v>August</v>
      </c>
      <c r="I10" s="51">
        <f t="shared" ca="1" si="1"/>
        <v>24</v>
      </c>
      <c r="J10" s="52" t="s">
        <v>257</v>
      </c>
      <c r="K10" s="53">
        <v>79760</v>
      </c>
      <c r="L10" s="54">
        <v>5</v>
      </c>
    </row>
    <row r="11" spans="1:12" ht="15" x14ac:dyDescent="0.25">
      <c r="A11" s="39" t="s">
        <v>766</v>
      </c>
      <c r="B11" s="46" t="s">
        <v>245</v>
      </c>
      <c r="C11" s="45" t="s">
        <v>272</v>
      </c>
      <c r="D11" s="47">
        <v>771277493</v>
      </c>
      <c r="E11" s="48">
        <v>2522872439</v>
      </c>
      <c r="F11" s="45" t="s">
        <v>252</v>
      </c>
      <c r="G11" s="105">
        <v>40126</v>
      </c>
      <c r="H11" s="105" t="str">
        <f t="shared" si="0"/>
        <v>November</v>
      </c>
      <c r="I11" s="51">
        <f t="shared" ca="1" si="1"/>
        <v>7</v>
      </c>
      <c r="J11" s="52"/>
      <c r="K11" s="53">
        <v>10636</v>
      </c>
      <c r="L11" s="54">
        <v>4</v>
      </c>
    </row>
    <row r="12" spans="1:12" ht="15" x14ac:dyDescent="0.25">
      <c r="A12" s="39" t="s">
        <v>707</v>
      </c>
      <c r="B12" s="46" t="s">
        <v>245</v>
      </c>
      <c r="C12" s="39" t="s">
        <v>272</v>
      </c>
      <c r="D12" s="72">
        <v>767961463</v>
      </c>
      <c r="E12" s="73">
        <v>2523646601</v>
      </c>
      <c r="F12" s="39" t="s">
        <v>247</v>
      </c>
      <c r="G12" s="81">
        <v>36777</v>
      </c>
      <c r="H12" s="105" t="str">
        <f t="shared" si="0"/>
        <v>September</v>
      </c>
      <c r="I12" s="51">
        <f t="shared" ca="1" si="1"/>
        <v>16</v>
      </c>
      <c r="J12" s="52"/>
      <c r="K12" s="53">
        <v>76690</v>
      </c>
      <c r="L12" s="54">
        <v>3</v>
      </c>
    </row>
    <row r="13" spans="1:12" ht="15" x14ac:dyDescent="0.25">
      <c r="A13" s="39" t="s">
        <v>418</v>
      </c>
      <c r="B13" s="46" t="s">
        <v>285</v>
      </c>
      <c r="C13" s="39" t="s">
        <v>272</v>
      </c>
      <c r="D13" s="72">
        <v>542051793</v>
      </c>
      <c r="E13" s="73">
        <v>2527317354</v>
      </c>
      <c r="F13" s="39" t="s">
        <v>256</v>
      </c>
      <c r="G13" s="81">
        <v>36260</v>
      </c>
      <c r="H13" s="105" t="str">
        <f t="shared" si="0"/>
        <v>April</v>
      </c>
      <c r="I13" s="51">
        <f t="shared" ca="1" si="1"/>
        <v>17</v>
      </c>
      <c r="J13" s="52" t="s">
        <v>257</v>
      </c>
      <c r="K13" s="53">
        <v>75150</v>
      </c>
      <c r="L13" s="54">
        <v>1</v>
      </c>
    </row>
    <row r="14" spans="1:12" ht="15" x14ac:dyDescent="0.25">
      <c r="A14" s="39" t="s">
        <v>1005</v>
      </c>
      <c r="B14" s="46" t="s">
        <v>266</v>
      </c>
      <c r="C14" s="39" t="s">
        <v>272</v>
      </c>
      <c r="D14" s="72">
        <v>456946966</v>
      </c>
      <c r="E14" s="73">
        <v>9194680033</v>
      </c>
      <c r="F14" s="39" t="s">
        <v>256</v>
      </c>
      <c r="G14" s="81">
        <v>36764</v>
      </c>
      <c r="H14" s="105" t="str">
        <f t="shared" si="0"/>
        <v>August</v>
      </c>
      <c r="I14" s="51">
        <f t="shared" ca="1" si="1"/>
        <v>16</v>
      </c>
      <c r="J14" s="52" t="s">
        <v>276</v>
      </c>
      <c r="K14" s="53">
        <v>74840</v>
      </c>
      <c r="L14" s="54">
        <v>4</v>
      </c>
    </row>
    <row r="15" spans="1:12" ht="15" x14ac:dyDescent="0.25">
      <c r="A15" s="39" t="s">
        <v>617</v>
      </c>
      <c r="B15" s="46" t="s">
        <v>266</v>
      </c>
      <c r="C15" s="39" t="s">
        <v>272</v>
      </c>
      <c r="D15" s="72">
        <v>840313216</v>
      </c>
      <c r="E15" s="73">
        <v>9198449868</v>
      </c>
      <c r="F15" s="39" t="s">
        <v>256</v>
      </c>
      <c r="G15" s="81">
        <v>39069</v>
      </c>
      <c r="H15" s="105" t="str">
        <f t="shared" si="0"/>
        <v>December</v>
      </c>
      <c r="I15" s="51">
        <f t="shared" ca="1" si="1"/>
        <v>9</v>
      </c>
      <c r="J15" s="52" t="s">
        <v>267</v>
      </c>
      <c r="K15" s="53">
        <v>37670</v>
      </c>
      <c r="L15" s="54">
        <v>3</v>
      </c>
    </row>
    <row r="16" spans="1:12" ht="15" x14ac:dyDescent="0.25">
      <c r="A16" s="39" t="s">
        <v>702</v>
      </c>
      <c r="B16" s="46" t="s">
        <v>251</v>
      </c>
      <c r="C16" s="39" t="s">
        <v>272</v>
      </c>
      <c r="D16" s="72">
        <v>481336564</v>
      </c>
      <c r="E16" s="73">
        <v>9196479087</v>
      </c>
      <c r="F16" s="39" t="s">
        <v>256</v>
      </c>
      <c r="G16" s="81">
        <v>36143</v>
      </c>
      <c r="H16" s="105" t="str">
        <f t="shared" si="0"/>
        <v>December</v>
      </c>
      <c r="I16" s="51">
        <f t="shared" ca="1" si="1"/>
        <v>17</v>
      </c>
      <c r="J16" s="52" t="s">
        <v>283</v>
      </c>
      <c r="K16" s="53">
        <v>72090</v>
      </c>
      <c r="L16" s="54">
        <v>5</v>
      </c>
    </row>
    <row r="17" spans="1:12" ht="15" x14ac:dyDescent="0.25">
      <c r="A17" s="39" t="s">
        <v>977</v>
      </c>
      <c r="B17" s="46" t="s">
        <v>271</v>
      </c>
      <c r="C17" s="39" t="s">
        <v>272</v>
      </c>
      <c r="D17" s="72">
        <v>781913936</v>
      </c>
      <c r="E17" s="73">
        <v>9197889149</v>
      </c>
      <c r="F17" s="39" t="s">
        <v>261</v>
      </c>
      <c r="G17" s="81">
        <v>37782</v>
      </c>
      <c r="H17" s="105" t="str">
        <f t="shared" si="0"/>
        <v>June</v>
      </c>
      <c r="I17" s="51">
        <f t="shared" ca="1" si="1"/>
        <v>13</v>
      </c>
      <c r="J17" s="52" t="s">
        <v>276</v>
      </c>
      <c r="K17" s="53">
        <v>17735</v>
      </c>
      <c r="L17" s="54">
        <v>3</v>
      </c>
    </row>
    <row r="18" spans="1:12" ht="15" x14ac:dyDescent="0.25">
      <c r="A18" s="39" t="s">
        <v>581</v>
      </c>
      <c r="B18" s="46" t="s">
        <v>271</v>
      </c>
      <c r="C18" s="39" t="s">
        <v>272</v>
      </c>
      <c r="D18" s="72">
        <v>202815919</v>
      </c>
      <c r="E18" s="73">
        <v>2528467597</v>
      </c>
      <c r="F18" s="39" t="s">
        <v>247</v>
      </c>
      <c r="G18" s="81">
        <v>34076</v>
      </c>
      <c r="H18" s="105" t="str">
        <f t="shared" si="0"/>
        <v>April</v>
      </c>
      <c r="I18" s="51">
        <f t="shared" ca="1" si="1"/>
        <v>23</v>
      </c>
      <c r="J18" s="52"/>
      <c r="K18" s="53">
        <v>66580</v>
      </c>
      <c r="L18" s="54">
        <v>5</v>
      </c>
    </row>
    <row r="19" spans="1:12" ht="15" x14ac:dyDescent="0.25">
      <c r="A19" s="39" t="s">
        <v>655</v>
      </c>
      <c r="B19" s="46" t="s">
        <v>280</v>
      </c>
      <c r="C19" s="45" t="s">
        <v>272</v>
      </c>
      <c r="D19" s="47">
        <v>415076748</v>
      </c>
      <c r="E19" s="48">
        <v>9195230846</v>
      </c>
      <c r="F19" s="45" t="s">
        <v>252</v>
      </c>
      <c r="G19" s="105">
        <v>33482</v>
      </c>
      <c r="H19" s="105" t="str">
        <f t="shared" si="0"/>
        <v>September</v>
      </c>
      <c r="I19" s="51">
        <f t="shared" ca="1" si="1"/>
        <v>25</v>
      </c>
      <c r="J19" s="52" t="s">
        <v>257</v>
      </c>
      <c r="K19" s="53">
        <v>29070</v>
      </c>
      <c r="L19" s="54">
        <v>3</v>
      </c>
    </row>
    <row r="20" spans="1:12" ht="15" x14ac:dyDescent="0.25">
      <c r="A20" s="39" t="s">
        <v>632</v>
      </c>
      <c r="B20" s="46" t="s">
        <v>251</v>
      </c>
      <c r="C20" s="39" t="s">
        <v>272</v>
      </c>
      <c r="D20" s="72">
        <v>975603308</v>
      </c>
      <c r="E20" s="73">
        <v>9192693355</v>
      </c>
      <c r="F20" s="39" t="s">
        <v>256</v>
      </c>
      <c r="G20" s="81">
        <v>37404</v>
      </c>
      <c r="H20" s="105" t="str">
        <f t="shared" si="0"/>
        <v>May</v>
      </c>
      <c r="I20" s="51">
        <f t="shared" ca="1" si="1"/>
        <v>14</v>
      </c>
      <c r="J20" s="52" t="s">
        <v>257</v>
      </c>
      <c r="K20" s="53">
        <v>30780</v>
      </c>
      <c r="L20" s="54">
        <v>4</v>
      </c>
    </row>
    <row r="21" spans="1:12" ht="15" x14ac:dyDescent="0.25">
      <c r="A21" s="39" t="s">
        <v>335</v>
      </c>
      <c r="B21" s="46" t="s">
        <v>285</v>
      </c>
      <c r="C21" s="39" t="s">
        <v>272</v>
      </c>
      <c r="D21" s="72">
        <v>768681542</v>
      </c>
      <c r="E21" s="73">
        <v>8021673267</v>
      </c>
      <c r="F21" s="39" t="s">
        <v>256</v>
      </c>
      <c r="G21" s="81">
        <v>35464</v>
      </c>
      <c r="H21" s="105" t="str">
        <f t="shared" si="0"/>
        <v>February</v>
      </c>
      <c r="I21" s="51">
        <f t="shared" ca="1" si="1"/>
        <v>19</v>
      </c>
      <c r="J21" s="52" t="s">
        <v>257</v>
      </c>
      <c r="K21" s="53">
        <v>60830</v>
      </c>
      <c r="L21" s="54">
        <v>2</v>
      </c>
    </row>
    <row r="22" spans="1:12" ht="15" x14ac:dyDescent="0.25">
      <c r="A22" s="39" t="s">
        <v>768</v>
      </c>
      <c r="B22" s="46" t="s">
        <v>271</v>
      </c>
      <c r="C22" s="45" t="s">
        <v>272</v>
      </c>
      <c r="D22" s="47">
        <v>638271383</v>
      </c>
      <c r="E22" s="48">
        <v>2521641031</v>
      </c>
      <c r="F22" s="45" t="s">
        <v>256</v>
      </c>
      <c r="G22" s="105">
        <v>38142</v>
      </c>
      <c r="H22" s="105" t="str">
        <f t="shared" si="0"/>
        <v>June</v>
      </c>
      <c r="I22" s="51">
        <f t="shared" ca="1" si="1"/>
        <v>12</v>
      </c>
      <c r="J22" s="52" t="s">
        <v>257</v>
      </c>
      <c r="K22" s="53">
        <v>49350</v>
      </c>
      <c r="L22" s="54">
        <v>4</v>
      </c>
    </row>
    <row r="23" spans="1:12" ht="15" x14ac:dyDescent="0.25">
      <c r="A23" s="39" t="s">
        <v>747</v>
      </c>
      <c r="B23" s="46" t="s">
        <v>245</v>
      </c>
      <c r="C23" s="45" t="s">
        <v>272</v>
      </c>
      <c r="D23" s="47">
        <v>297852686</v>
      </c>
      <c r="E23" s="48">
        <v>2525832994</v>
      </c>
      <c r="F23" s="45" t="s">
        <v>256</v>
      </c>
      <c r="G23" s="105">
        <v>39704</v>
      </c>
      <c r="H23" s="105" t="str">
        <f t="shared" si="0"/>
        <v>September</v>
      </c>
      <c r="I23" s="51">
        <f t="shared" ca="1" si="1"/>
        <v>8</v>
      </c>
      <c r="J23" s="52" t="s">
        <v>276</v>
      </c>
      <c r="K23" s="53">
        <v>58290</v>
      </c>
      <c r="L23" s="54">
        <v>5</v>
      </c>
    </row>
    <row r="24" spans="1:12" ht="15" x14ac:dyDescent="0.25">
      <c r="A24" s="39" t="s">
        <v>421</v>
      </c>
      <c r="B24" s="46" t="s">
        <v>251</v>
      </c>
      <c r="C24" s="45" t="s">
        <v>272</v>
      </c>
      <c r="D24" s="47">
        <v>356110882</v>
      </c>
      <c r="E24" s="48">
        <v>2527936742</v>
      </c>
      <c r="F24" s="45" t="s">
        <v>261</v>
      </c>
      <c r="G24" s="105">
        <v>36217</v>
      </c>
      <c r="H24" s="105" t="str">
        <f t="shared" si="0"/>
        <v>February</v>
      </c>
      <c r="I24" s="51">
        <f t="shared" ca="1" si="1"/>
        <v>17</v>
      </c>
      <c r="J24" s="52" t="s">
        <v>257</v>
      </c>
      <c r="K24" s="53">
        <v>15240</v>
      </c>
      <c r="L24" s="54">
        <v>1</v>
      </c>
    </row>
    <row r="25" spans="1:12" ht="15" x14ac:dyDescent="0.25">
      <c r="A25" s="39"/>
      <c r="B25" s="46"/>
      <c r="C25" s="115"/>
      <c r="D25" s="47"/>
      <c r="E25" s="48"/>
      <c r="F25" s="45"/>
      <c r="G25" s="105"/>
      <c r="H25" s="105"/>
      <c r="I25" s="51"/>
      <c r="J25" s="52"/>
      <c r="K25" s="53"/>
      <c r="L25" s="54"/>
    </row>
    <row r="26" spans="1:12" ht="15" x14ac:dyDescent="0.25">
      <c r="A26" s="39" t="s">
        <v>547</v>
      </c>
      <c r="B26" s="46" t="s">
        <v>271</v>
      </c>
      <c r="C26" s="39" t="s">
        <v>296</v>
      </c>
      <c r="D26" s="72">
        <v>243350742</v>
      </c>
      <c r="E26" s="73">
        <v>2528304204</v>
      </c>
      <c r="F26" s="39" t="s">
        <v>252</v>
      </c>
      <c r="G26" s="81">
        <v>35674</v>
      </c>
      <c r="H26" s="105" t="str">
        <f t="shared" ref="H26:H35" si="2">CHOOSE(MONTH(G26),"January","February","March","April","May","June","July","August","September","October","November","December")</f>
        <v>September</v>
      </c>
      <c r="I26" s="51">
        <f t="shared" ref="I26:I35" ca="1" si="3">DATEDIF(G26,TODAY(),"Y")</f>
        <v>19</v>
      </c>
      <c r="J26" s="52"/>
      <c r="K26" s="53">
        <v>20028</v>
      </c>
      <c r="L26" s="54">
        <v>4</v>
      </c>
    </row>
    <row r="27" spans="1:12" ht="15" x14ac:dyDescent="0.25">
      <c r="A27" s="39" t="s">
        <v>571</v>
      </c>
      <c r="B27" s="46" t="s">
        <v>251</v>
      </c>
      <c r="C27" s="39" t="s">
        <v>296</v>
      </c>
      <c r="D27" s="72">
        <v>764375259</v>
      </c>
      <c r="E27" s="73">
        <v>2527515181</v>
      </c>
      <c r="F27" s="39" t="s">
        <v>256</v>
      </c>
      <c r="G27" s="81">
        <v>38051</v>
      </c>
      <c r="H27" s="105" t="str">
        <f t="shared" si="2"/>
        <v>March</v>
      </c>
      <c r="I27" s="51">
        <f t="shared" ca="1" si="3"/>
        <v>12</v>
      </c>
      <c r="J27" s="52" t="s">
        <v>257</v>
      </c>
      <c r="K27" s="53">
        <v>30350</v>
      </c>
      <c r="L27" s="54">
        <v>1</v>
      </c>
    </row>
    <row r="28" spans="1:12" ht="15" x14ac:dyDescent="0.25">
      <c r="A28" s="39" t="s">
        <v>385</v>
      </c>
      <c r="B28" s="46" t="s">
        <v>245</v>
      </c>
      <c r="C28" s="39" t="s">
        <v>296</v>
      </c>
      <c r="D28" s="72">
        <v>278431222</v>
      </c>
      <c r="E28" s="73">
        <v>9196699611</v>
      </c>
      <c r="F28" s="39" t="s">
        <v>256</v>
      </c>
      <c r="G28" s="81">
        <v>36893</v>
      </c>
      <c r="H28" s="105" t="str">
        <f t="shared" si="2"/>
        <v>January</v>
      </c>
      <c r="I28" s="51">
        <f t="shared" ca="1" si="3"/>
        <v>15</v>
      </c>
      <c r="J28" s="52" t="s">
        <v>283</v>
      </c>
      <c r="K28" s="53">
        <v>33640</v>
      </c>
      <c r="L28" s="54">
        <v>3</v>
      </c>
    </row>
    <row r="29" spans="1:12" ht="15" x14ac:dyDescent="0.25">
      <c r="A29" s="39" t="s">
        <v>959</v>
      </c>
      <c r="B29" s="46" t="s">
        <v>285</v>
      </c>
      <c r="C29" s="39" t="s">
        <v>296</v>
      </c>
      <c r="D29" s="72">
        <v>237359447</v>
      </c>
      <c r="E29" s="73">
        <v>9195882405</v>
      </c>
      <c r="F29" s="39" t="s">
        <v>256</v>
      </c>
      <c r="G29" s="81">
        <v>34301</v>
      </c>
      <c r="H29" s="105" t="str">
        <f t="shared" si="2"/>
        <v>November</v>
      </c>
      <c r="I29" s="51">
        <f t="shared" ca="1" si="3"/>
        <v>22</v>
      </c>
      <c r="J29" s="52" t="s">
        <v>257</v>
      </c>
      <c r="K29" s="53">
        <v>73440</v>
      </c>
      <c r="L29" s="54">
        <v>1</v>
      </c>
    </row>
    <row r="30" spans="1:12" ht="15" x14ac:dyDescent="0.25">
      <c r="A30" s="39" t="s">
        <v>343</v>
      </c>
      <c r="B30" s="46" t="s">
        <v>271</v>
      </c>
      <c r="C30" s="39" t="s">
        <v>296</v>
      </c>
      <c r="D30" s="72">
        <v>216607562</v>
      </c>
      <c r="E30" s="73">
        <v>2521593705</v>
      </c>
      <c r="F30" s="39" t="s">
        <v>256</v>
      </c>
      <c r="G30" s="81">
        <v>35459</v>
      </c>
      <c r="H30" s="105" t="str">
        <f t="shared" si="2"/>
        <v>January</v>
      </c>
      <c r="I30" s="51">
        <f t="shared" ca="1" si="3"/>
        <v>19</v>
      </c>
      <c r="J30" s="52" t="s">
        <v>283</v>
      </c>
      <c r="K30" s="53">
        <v>49360</v>
      </c>
      <c r="L30" s="54">
        <v>2</v>
      </c>
    </row>
    <row r="31" spans="1:12" ht="15" x14ac:dyDescent="0.25">
      <c r="A31" s="39" t="s">
        <v>843</v>
      </c>
      <c r="B31" s="46" t="s">
        <v>245</v>
      </c>
      <c r="C31" s="39" t="s">
        <v>296</v>
      </c>
      <c r="D31" s="72">
        <v>796079833</v>
      </c>
      <c r="E31" s="73">
        <v>2525327906</v>
      </c>
      <c r="F31" s="39" t="s">
        <v>261</v>
      </c>
      <c r="G31" s="81">
        <v>35564</v>
      </c>
      <c r="H31" s="105" t="str">
        <f t="shared" si="2"/>
        <v>May</v>
      </c>
      <c r="I31" s="51">
        <f t="shared" ca="1" si="3"/>
        <v>19</v>
      </c>
      <c r="J31" s="52" t="s">
        <v>257</v>
      </c>
      <c r="K31" s="53">
        <v>11025</v>
      </c>
      <c r="L31" s="54">
        <v>1</v>
      </c>
    </row>
    <row r="32" spans="1:12" ht="15" x14ac:dyDescent="0.25">
      <c r="A32" s="39" t="s">
        <v>389</v>
      </c>
      <c r="B32" s="46" t="s">
        <v>245</v>
      </c>
      <c r="C32" s="39" t="s">
        <v>296</v>
      </c>
      <c r="D32" s="72">
        <v>515543972</v>
      </c>
      <c r="E32" s="73">
        <v>9193539483</v>
      </c>
      <c r="F32" s="39" t="s">
        <v>256</v>
      </c>
      <c r="G32" s="81">
        <v>36619</v>
      </c>
      <c r="H32" s="105" t="str">
        <f t="shared" si="2"/>
        <v>April</v>
      </c>
      <c r="I32" s="51">
        <f t="shared" ca="1" si="3"/>
        <v>16</v>
      </c>
      <c r="J32" s="52" t="s">
        <v>267</v>
      </c>
      <c r="K32" s="53">
        <v>56440</v>
      </c>
      <c r="L32" s="54">
        <v>1</v>
      </c>
    </row>
    <row r="33" spans="1:12" ht="15" x14ac:dyDescent="0.25">
      <c r="A33" s="39" t="s">
        <v>858</v>
      </c>
      <c r="B33" s="46" t="s">
        <v>245</v>
      </c>
      <c r="C33" s="39" t="s">
        <v>296</v>
      </c>
      <c r="D33" s="72">
        <v>963028490</v>
      </c>
      <c r="E33" s="73">
        <v>2524383168</v>
      </c>
      <c r="F33" s="39" t="s">
        <v>256</v>
      </c>
      <c r="G33" s="81">
        <v>33551</v>
      </c>
      <c r="H33" s="105" t="str">
        <f t="shared" si="2"/>
        <v>November</v>
      </c>
      <c r="I33" s="51">
        <f t="shared" ca="1" si="3"/>
        <v>25</v>
      </c>
      <c r="J33" s="52" t="s">
        <v>262</v>
      </c>
      <c r="K33" s="53">
        <v>41350</v>
      </c>
      <c r="L33" s="54">
        <v>2</v>
      </c>
    </row>
    <row r="34" spans="1:12" ht="15" x14ac:dyDescent="0.25">
      <c r="A34" s="39" t="s">
        <v>620</v>
      </c>
      <c r="B34" s="46" t="s">
        <v>285</v>
      </c>
      <c r="C34" s="39" t="s">
        <v>296</v>
      </c>
      <c r="D34" s="72">
        <v>533976888</v>
      </c>
      <c r="E34" s="73">
        <v>9192572783</v>
      </c>
      <c r="F34" s="39" t="s">
        <v>256</v>
      </c>
      <c r="G34" s="81">
        <v>36214</v>
      </c>
      <c r="H34" s="105" t="str">
        <f t="shared" si="2"/>
        <v>February</v>
      </c>
      <c r="I34" s="51">
        <f t="shared" ca="1" si="3"/>
        <v>17</v>
      </c>
      <c r="J34" s="52" t="s">
        <v>276</v>
      </c>
      <c r="K34" s="53">
        <v>47850</v>
      </c>
      <c r="L34" s="54">
        <v>1</v>
      </c>
    </row>
    <row r="35" spans="1:12" ht="15" x14ac:dyDescent="0.25">
      <c r="A35" s="39" t="s">
        <v>972</v>
      </c>
      <c r="B35" s="46" t="s">
        <v>245</v>
      </c>
      <c r="C35" s="39" t="s">
        <v>296</v>
      </c>
      <c r="D35" s="72">
        <v>460412180</v>
      </c>
      <c r="E35" s="73">
        <v>9196822349</v>
      </c>
      <c r="F35" s="39" t="s">
        <v>256</v>
      </c>
      <c r="G35" s="81">
        <v>40106</v>
      </c>
      <c r="H35" s="105" t="str">
        <f t="shared" si="2"/>
        <v>October</v>
      </c>
      <c r="I35" s="51">
        <f t="shared" ca="1" si="3"/>
        <v>7</v>
      </c>
      <c r="J35" s="52" t="s">
        <v>262</v>
      </c>
      <c r="K35" s="53">
        <v>51180</v>
      </c>
      <c r="L35" s="54">
        <v>3</v>
      </c>
    </row>
    <row r="36" spans="1:12" ht="15" x14ac:dyDescent="0.25">
      <c r="A36" s="39"/>
      <c r="B36" s="46"/>
      <c r="C36" s="111"/>
      <c r="D36" s="72"/>
      <c r="E36" s="73"/>
      <c r="F36" s="39"/>
      <c r="G36" s="81"/>
      <c r="H36" s="105"/>
      <c r="I36" s="51"/>
      <c r="J36" s="52"/>
      <c r="K36" s="53"/>
      <c r="L36" s="54"/>
    </row>
    <row r="37" spans="1:12" ht="15" x14ac:dyDescent="0.25">
      <c r="A37" s="39" t="s">
        <v>601</v>
      </c>
      <c r="B37" s="46" t="s">
        <v>285</v>
      </c>
      <c r="C37" s="39" t="s">
        <v>307</v>
      </c>
      <c r="D37" s="72">
        <v>534034571</v>
      </c>
      <c r="E37" s="73">
        <v>2526169135</v>
      </c>
      <c r="F37" s="39" t="s">
        <v>261</v>
      </c>
      <c r="G37" s="81">
        <v>39417</v>
      </c>
      <c r="H37" s="105" t="str">
        <f>CHOOSE(MONTH(G37),"January","February","March","April","May","June","July","August","September","October","November","December")</f>
        <v>December</v>
      </c>
      <c r="I37" s="51">
        <f ca="1">DATEDIF(G37,TODAY(),"Y")</f>
        <v>8</v>
      </c>
      <c r="J37" s="52" t="s">
        <v>267</v>
      </c>
      <c r="K37" s="53">
        <v>46095</v>
      </c>
      <c r="L37" s="54">
        <v>3</v>
      </c>
    </row>
    <row r="38" spans="1:12" ht="15" x14ac:dyDescent="0.25">
      <c r="A38" s="39" t="s">
        <v>1006</v>
      </c>
      <c r="B38" s="46" t="s">
        <v>271</v>
      </c>
      <c r="C38" s="39" t="s">
        <v>307</v>
      </c>
      <c r="D38" s="72">
        <v>601942708</v>
      </c>
      <c r="E38" s="73">
        <v>9198085402</v>
      </c>
      <c r="F38" s="39" t="s">
        <v>261</v>
      </c>
      <c r="G38" s="81">
        <v>40152</v>
      </c>
      <c r="H38" s="105" t="str">
        <f>CHOOSE(MONTH(G38),"January","February","March","April","May","June","July","August","September","October","November","December")</f>
        <v>December</v>
      </c>
      <c r="I38" s="51">
        <f ca="1">DATEDIF(G38,TODAY(),"Y")</f>
        <v>6</v>
      </c>
      <c r="J38" s="52" t="s">
        <v>283</v>
      </c>
      <c r="K38" s="53">
        <v>28680</v>
      </c>
      <c r="L38" s="54">
        <v>1</v>
      </c>
    </row>
    <row r="39" spans="1:12" ht="15" x14ac:dyDescent="0.25">
      <c r="A39" s="39" t="s">
        <v>850</v>
      </c>
      <c r="B39" s="46" t="s">
        <v>280</v>
      </c>
      <c r="C39" s="39" t="s">
        <v>307</v>
      </c>
      <c r="D39" s="72">
        <v>529609767</v>
      </c>
      <c r="E39" s="73">
        <v>2528006736</v>
      </c>
      <c r="F39" s="39" t="s">
        <v>247</v>
      </c>
      <c r="G39" s="81">
        <v>35395</v>
      </c>
      <c r="H39" s="105" t="str">
        <f>CHOOSE(MONTH(G39),"January","February","March","April","May","June","July","August","September","October","November","December")</f>
        <v>November</v>
      </c>
      <c r="I39" s="51">
        <f ca="1">DATEDIF(G39,TODAY(),"Y")</f>
        <v>19</v>
      </c>
      <c r="J39" s="52"/>
      <c r="K39" s="53">
        <v>58130</v>
      </c>
      <c r="L39" s="54">
        <v>2</v>
      </c>
    </row>
    <row r="40" spans="1:12" ht="15" x14ac:dyDescent="0.25">
      <c r="A40" s="39" t="s">
        <v>925</v>
      </c>
      <c r="B40" s="46" t="s">
        <v>285</v>
      </c>
      <c r="C40" s="39" t="s">
        <v>307</v>
      </c>
      <c r="D40" s="72">
        <v>682791418</v>
      </c>
      <c r="E40" s="73">
        <v>9194603155</v>
      </c>
      <c r="F40" s="39" t="s">
        <v>256</v>
      </c>
      <c r="G40" s="81">
        <v>33713</v>
      </c>
      <c r="H40" s="105" t="str">
        <f>CHOOSE(MONTH(G40),"January","February","March","April","May","June","July","August","September","October","November","December")</f>
        <v>April</v>
      </c>
      <c r="I40" s="51">
        <f ca="1">DATEDIF(G40,TODAY(),"Y")</f>
        <v>24</v>
      </c>
      <c r="J40" s="52" t="s">
        <v>257</v>
      </c>
      <c r="K40" s="53">
        <v>46220</v>
      </c>
      <c r="L40" s="54">
        <v>3</v>
      </c>
    </row>
    <row r="41" spans="1:12" ht="15" x14ac:dyDescent="0.25">
      <c r="A41" s="39"/>
      <c r="B41" s="46"/>
      <c r="C41" s="111"/>
      <c r="D41" s="72"/>
      <c r="E41" s="73"/>
      <c r="F41" s="39"/>
      <c r="G41" s="81"/>
      <c r="H41" s="105"/>
      <c r="I41" s="51"/>
      <c r="J41" s="52"/>
      <c r="K41" s="53"/>
      <c r="L41" s="54"/>
    </row>
    <row r="42" spans="1:12" ht="15" x14ac:dyDescent="0.25">
      <c r="A42" s="39" t="s">
        <v>797</v>
      </c>
      <c r="B42" s="46" t="s">
        <v>285</v>
      </c>
      <c r="C42" s="39" t="s">
        <v>312</v>
      </c>
      <c r="D42" s="72">
        <v>427811310</v>
      </c>
      <c r="E42" s="73">
        <v>9191362796</v>
      </c>
      <c r="F42" s="39" t="s">
        <v>247</v>
      </c>
      <c r="G42" s="81">
        <v>38907</v>
      </c>
      <c r="H42" s="105" t="str">
        <f t="shared" ref="H42:H73" si="4">CHOOSE(MONTH(G42),"January","February","March","April","May","June","July","August","September","October","November","December")</f>
        <v>July</v>
      </c>
      <c r="I42" s="51">
        <f t="shared" ref="I42:I73" ca="1" si="5">DATEDIF(G42,TODAY(),"Y")</f>
        <v>10</v>
      </c>
      <c r="J42" s="52"/>
      <c r="K42" s="53">
        <v>89310</v>
      </c>
      <c r="L42" s="54">
        <v>5</v>
      </c>
    </row>
    <row r="43" spans="1:12" ht="15" x14ac:dyDescent="0.25">
      <c r="A43" s="39" t="s">
        <v>939</v>
      </c>
      <c r="B43" s="46" t="s">
        <v>266</v>
      </c>
      <c r="C43" s="39" t="s">
        <v>312</v>
      </c>
      <c r="D43" s="72">
        <v>267218084</v>
      </c>
      <c r="E43" s="73">
        <v>9193825834</v>
      </c>
      <c r="F43" s="39" t="s">
        <v>247</v>
      </c>
      <c r="G43" s="81">
        <v>35940</v>
      </c>
      <c r="H43" s="105" t="str">
        <f t="shared" si="4"/>
        <v>May</v>
      </c>
      <c r="I43" s="51">
        <f t="shared" ca="1" si="5"/>
        <v>18</v>
      </c>
      <c r="J43" s="52"/>
      <c r="K43" s="53">
        <v>88000</v>
      </c>
      <c r="L43" s="54">
        <v>5</v>
      </c>
    </row>
    <row r="44" spans="1:12" ht="15" x14ac:dyDescent="0.25">
      <c r="A44" s="39" t="s">
        <v>999</v>
      </c>
      <c r="B44" s="46" t="s">
        <v>245</v>
      </c>
      <c r="C44" s="39" t="s">
        <v>312</v>
      </c>
      <c r="D44" s="72">
        <v>936730279</v>
      </c>
      <c r="E44" s="73">
        <v>2528033253</v>
      </c>
      <c r="F44" s="39" t="s">
        <v>261</v>
      </c>
      <c r="G44" s="81">
        <v>35517</v>
      </c>
      <c r="H44" s="105" t="str">
        <f t="shared" si="4"/>
        <v>March</v>
      </c>
      <c r="I44" s="51">
        <f t="shared" ca="1" si="5"/>
        <v>19</v>
      </c>
      <c r="J44" s="52" t="s">
        <v>267</v>
      </c>
      <c r="K44" s="53">
        <v>48415</v>
      </c>
      <c r="L44" s="54">
        <v>4</v>
      </c>
    </row>
    <row r="45" spans="1:12" ht="15" x14ac:dyDescent="0.25">
      <c r="A45" s="39" t="s">
        <v>844</v>
      </c>
      <c r="B45" s="46" t="s">
        <v>285</v>
      </c>
      <c r="C45" s="39" t="s">
        <v>312</v>
      </c>
      <c r="D45" s="72">
        <v>252276921</v>
      </c>
      <c r="E45" s="73">
        <v>2525777345</v>
      </c>
      <c r="F45" s="39" t="s">
        <v>256</v>
      </c>
      <c r="G45" s="81">
        <v>37785</v>
      </c>
      <c r="H45" s="105" t="str">
        <f t="shared" si="4"/>
        <v>June</v>
      </c>
      <c r="I45" s="51">
        <f t="shared" ca="1" si="5"/>
        <v>13</v>
      </c>
      <c r="J45" s="52" t="s">
        <v>283</v>
      </c>
      <c r="K45" s="53">
        <v>87280</v>
      </c>
      <c r="L45" s="54">
        <v>4</v>
      </c>
    </row>
    <row r="46" spans="1:12" ht="15" x14ac:dyDescent="0.25">
      <c r="A46" s="39" t="s">
        <v>522</v>
      </c>
      <c r="B46" s="46" t="s">
        <v>285</v>
      </c>
      <c r="C46" s="39" t="s">
        <v>312</v>
      </c>
      <c r="D46" s="72">
        <v>870106287</v>
      </c>
      <c r="E46" s="73">
        <v>2528611970</v>
      </c>
      <c r="F46" s="39" t="s">
        <v>261</v>
      </c>
      <c r="G46" s="81">
        <v>34548</v>
      </c>
      <c r="H46" s="105" t="str">
        <f t="shared" si="4"/>
        <v>August</v>
      </c>
      <c r="I46" s="51">
        <f t="shared" ca="1" si="5"/>
        <v>22</v>
      </c>
      <c r="J46" s="52" t="s">
        <v>276</v>
      </c>
      <c r="K46" s="53">
        <v>38920</v>
      </c>
      <c r="L46" s="54">
        <v>4</v>
      </c>
    </row>
    <row r="47" spans="1:12" ht="15" x14ac:dyDescent="0.25">
      <c r="A47" s="39" t="s">
        <v>870</v>
      </c>
      <c r="B47" s="46" t="s">
        <v>271</v>
      </c>
      <c r="C47" s="39" t="s">
        <v>312</v>
      </c>
      <c r="D47" s="72">
        <v>631405285</v>
      </c>
      <c r="E47" s="73">
        <v>2527491979</v>
      </c>
      <c r="F47" s="39" t="s">
        <v>256</v>
      </c>
      <c r="G47" s="81">
        <v>33527</v>
      </c>
      <c r="H47" s="105" t="str">
        <f t="shared" si="4"/>
        <v>October</v>
      </c>
      <c r="I47" s="51">
        <f t="shared" ca="1" si="5"/>
        <v>25</v>
      </c>
      <c r="J47" s="52" t="s">
        <v>283</v>
      </c>
      <c r="K47" s="53">
        <v>85920</v>
      </c>
      <c r="L47" s="54">
        <v>4</v>
      </c>
    </row>
    <row r="48" spans="1:12" ht="15" x14ac:dyDescent="0.25">
      <c r="A48" s="39" t="s">
        <v>796</v>
      </c>
      <c r="B48" s="46" t="s">
        <v>285</v>
      </c>
      <c r="C48" s="39" t="s">
        <v>312</v>
      </c>
      <c r="D48" s="72">
        <v>333947685</v>
      </c>
      <c r="E48" s="73">
        <v>9198314799</v>
      </c>
      <c r="F48" s="39" t="s">
        <v>256</v>
      </c>
      <c r="G48" s="81">
        <v>37348</v>
      </c>
      <c r="H48" s="105" t="str">
        <f t="shared" si="4"/>
        <v>April</v>
      </c>
      <c r="I48" s="51">
        <f t="shared" ca="1" si="5"/>
        <v>14</v>
      </c>
      <c r="J48" s="52" t="s">
        <v>262</v>
      </c>
      <c r="K48" s="53">
        <v>85880</v>
      </c>
      <c r="L48" s="54">
        <v>3</v>
      </c>
    </row>
    <row r="49" spans="1:12" ht="15" x14ac:dyDescent="0.25">
      <c r="A49" s="39" t="s">
        <v>993</v>
      </c>
      <c r="B49" s="46" t="s">
        <v>271</v>
      </c>
      <c r="C49" s="39" t="s">
        <v>312</v>
      </c>
      <c r="D49" s="72">
        <v>981106829</v>
      </c>
      <c r="E49" s="73">
        <v>2526196095</v>
      </c>
      <c r="F49" s="39" t="s">
        <v>247</v>
      </c>
      <c r="G49" s="81">
        <v>35848</v>
      </c>
      <c r="H49" s="105" t="str">
        <f t="shared" si="4"/>
        <v>February</v>
      </c>
      <c r="I49" s="51">
        <f t="shared" ca="1" si="5"/>
        <v>18</v>
      </c>
      <c r="J49" s="52"/>
      <c r="K49" s="53">
        <v>85480</v>
      </c>
      <c r="L49" s="54">
        <v>5</v>
      </c>
    </row>
    <row r="50" spans="1:12" ht="15" x14ac:dyDescent="0.25">
      <c r="A50" s="39" t="s">
        <v>496</v>
      </c>
      <c r="B50" s="46" t="s">
        <v>285</v>
      </c>
      <c r="C50" s="39" t="s">
        <v>312</v>
      </c>
      <c r="D50" s="72">
        <v>164904130</v>
      </c>
      <c r="E50" s="73">
        <v>2528046670</v>
      </c>
      <c r="F50" s="39" t="s">
        <v>247</v>
      </c>
      <c r="G50" s="81">
        <v>35569</v>
      </c>
      <c r="H50" s="105" t="str">
        <f t="shared" si="4"/>
        <v>May</v>
      </c>
      <c r="I50" s="51">
        <f t="shared" ca="1" si="5"/>
        <v>19</v>
      </c>
      <c r="J50" s="52"/>
      <c r="K50" s="53">
        <v>84200</v>
      </c>
      <c r="L50" s="54">
        <v>2</v>
      </c>
    </row>
    <row r="51" spans="1:12" ht="15" x14ac:dyDescent="0.25">
      <c r="A51" s="39" t="s">
        <v>734</v>
      </c>
      <c r="B51" s="46" t="s">
        <v>245</v>
      </c>
      <c r="C51" s="39" t="s">
        <v>312</v>
      </c>
      <c r="D51" s="72">
        <v>733413074</v>
      </c>
      <c r="E51" s="73">
        <v>9192224790</v>
      </c>
      <c r="F51" s="39" t="s">
        <v>247</v>
      </c>
      <c r="G51" s="81">
        <v>38970</v>
      </c>
      <c r="H51" s="105" t="str">
        <f t="shared" si="4"/>
        <v>September</v>
      </c>
      <c r="I51" s="51">
        <f t="shared" ca="1" si="5"/>
        <v>10</v>
      </c>
      <c r="J51" s="52"/>
      <c r="K51" s="53">
        <v>83070</v>
      </c>
      <c r="L51" s="54">
        <v>3</v>
      </c>
    </row>
    <row r="52" spans="1:12" ht="15" x14ac:dyDescent="0.25">
      <c r="A52" s="39" t="s">
        <v>624</v>
      </c>
      <c r="B52" s="46" t="s">
        <v>245</v>
      </c>
      <c r="C52" s="39" t="s">
        <v>312</v>
      </c>
      <c r="D52" s="72">
        <v>648911225</v>
      </c>
      <c r="E52" s="73">
        <v>2525829090</v>
      </c>
      <c r="F52" s="39" t="s">
        <v>247</v>
      </c>
      <c r="G52" s="81">
        <v>33981</v>
      </c>
      <c r="H52" s="105" t="str">
        <f t="shared" si="4"/>
        <v>January</v>
      </c>
      <c r="I52" s="51">
        <f t="shared" ca="1" si="5"/>
        <v>23</v>
      </c>
      <c r="J52" s="52"/>
      <c r="K52" s="53">
        <v>83020</v>
      </c>
      <c r="L52" s="54">
        <v>4</v>
      </c>
    </row>
    <row r="53" spans="1:12" ht="15" x14ac:dyDescent="0.25">
      <c r="A53" s="39" t="s">
        <v>471</v>
      </c>
      <c r="B53" s="46" t="s">
        <v>251</v>
      </c>
      <c r="C53" s="39" t="s">
        <v>312</v>
      </c>
      <c r="D53" s="72">
        <v>344090854</v>
      </c>
      <c r="E53" s="73">
        <v>2523542524</v>
      </c>
      <c r="F53" s="39" t="s">
        <v>256</v>
      </c>
      <c r="G53" s="81">
        <v>35197</v>
      </c>
      <c r="H53" s="105" t="str">
        <f t="shared" si="4"/>
        <v>May</v>
      </c>
      <c r="I53" s="51">
        <f t="shared" ca="1" si="5"/>
        <v>20</v>
      </c>
      <c r="J53" s="52" t="s">
        <v>276</v>
      </c>
      <c r="K53" s="53">
        <v>82120</v>
      </c>
      <c r="L53" s="54">
        <v>5</v>
      </c>
    </row>
    <row r="54" spans="1:12" ht="15" x14ac:dyDescent="0.25">
      <c r="A54" s="39" t="s">
        <v>630</v>
      </c>
      <c r="B54" s="46" t="s">
        <v>271</v>
      </c>
      <c r="C54" s="39" t="s">
        <v>312</v>
      </c>
      <c r="D54" s="72">
        <v>148899089</v>
      </c>
      <c r="E54" s="73">
        <v>2524734960</v>
      </c>
      <c r="F54" s="39" t="s">
        <v>261</v>
      </c>
      <c r="G54" s="81">
        <v>34166</v>
      </c>
      <c r="H54" s="105" t="str">
        <f t="shared" si="4"/>
        <v>July</v>
      </c>
      <c r="I54" s="51">
        <f t="shared" ca="1" si="5"/>
        <v>23</v>
      </c>
      <c r="J54" s="52" t="s">
        <v>257</v>
      </c>
      <c r="K54" s="53">
        <v>26890</v>
      </c>
      <c r="L54" s="54">
        <v>3</v>
      </c>
    </row>
    <row r="55" spans="1:12" ht="15" x14ac:dyDescent="0.25">
      <c r="A55" s="39" t="s">
        <v>577</v>
      </c>
      <c r="B55" s="46" t="s">
        <v>285</v>
      </c>
      <c r="C55" s="39" t="s">
        <v>312</v>
      </c>
      <c r="D55" s="72">
        <v>260815239</v>
      </c>
      <c r="E55" s="73">
        <v>2523040292</v>
      </c>
      <c r="F55" s="39" t="s">
        <v>252</v>
      </c>
      <c r="G55" s="81">
        <v>33620</v>
      </c>
      <c r="H55" s="105" t="str">
        <f t="shared" si="4"/>
        <v>January</v>
      </c>
      <c r="I55" s="51">
        <f t="shared" ca="1" si="5"/>
        <v>24</v>
      </c>
      <c r="J55" s="52"/>
      <c r="K55" s="53">
        <v>14568</v>
      </c>
      <c r="L55" s="54">
        <v>3</v>
      </c>
    </row>
    <row r="56" spans="1:12" ht="15" x14ac:dyDescent="0.25">
      <c r="A56" s="39" t="s">
        <v>941</v>
      </c>
      <c r="B56" s="46" t="s">
        <v>285</v>
      </c>
      <c r="C56" s="39" t="s">
        <v>312</v>
      </c>
      <c r="D56" s="72">
        <v>653843221</v>
      </c>
      <c r="E56" s="73">
        <v>9197713771</v>
      </c>
      <c r="F56" s="39" t="s">
        <v>247</v>
      </c>
      <c r="G56" s="81">
        <v>39959</v>
      </c>
      <c r="H56" s="105" t="str">
        <f t="shared" si="4"/>
        <v>May</v>
      </c>
      <c r="I56" s="51">
        <f t="shared" ca="1" si="5"/>
        <v>7</v>
      </c>
      <c r="J56" s="52"/>
      <c r="K56" s="53">
        <v>79460</v>
      </c>
      <c r="L56" s="54">
        <v>5</v>
      </c>
    </row>
    <row r="57" spans="1:12" ht="15" x14ac:dyDescent="0.25">
      <c r="A57" s="39" t="s">
        <v>866</v>
      </c>
      <c r="B57" s="46" t="s">
        <v>245</v>
      </c>
      <c r="C57" s="39" t="s">
        <v>312</v>
      </c>
      <c r="D57" s="72">
        <v>787156286</v>
      </c>
      <c r="E57" s="73">
        <v>2524588703</v>
      </c>
      <c r="F57" s="39" t="s">
        <v>256</v>
      </c>
      <c r="G57" s="81">
        <v>33348</v>
      </c>
      <c r="H57" s="105" t="str">
        <f t="shared" si="4"/>
        <v>April</v>
      </c>
      <c r="I57" s="51">
        <f t="shared" ca="1" si="5"/>
        <v>25</v>
      </c>
      <c r="J57" s="52" t="s">
        <v>276</v>
      </c>
      <c r="K57" s="53">
        <v>49810</v>
      </c>
      <c r="L57" s="54">
        <v>2</v>
      </c>
    </row>
    <row r="58" spans="1:12" ht="15" x14ac:dyDescent="0.25">
      <c r="A58" s="39" t="s">
        <v>800</v>
      </c>
      <c r="B58" s="46" t="s">
        <v>245</v>
      </c>
      <c r="C58" s="39" t="s">
        <v>312</v>
      </c>
      <c r="D58" s="72">
        <v>415228597</v>
      </c>
      <c r="E58" s="73">
        <v>9196252690</v>
      </c>
      <c r="F58" s="39" t="s">
        <v>256</v>
      </c>
      <c r="G58" s="81">
        <v>35667</v>
      </c>
      <c r="H58" s="105" t="str">
        <f t="shared" si="4"/>
        <v>August</v>
      </c>
      <c r="I58" s="51">
        <f t="shared" ca="1" si="5"/>
        <v>19</v>
      </c>
      <c r="J58" s="52" t="s">
        <v>257</v>
      </c>
      <c r="K58" s="53">
        <v>40920</v>
      </c>
      <c r="L58" s="54">
        <v>4</v>
      </c>
    </row>
    <row r="59" spans="1:12" ht="15" x14ac:dyDescent="0.25">
      <c r="A59" s="39" t="s">
        <v>893</v>
      </c>
      <c r="B59" s="46" t="s">
        <v>285</v>
      </c>
      <c r="C59" s="39" t="s">
        <v>312</v>
      </c>
      <c r="D59" s="72">
        <v>411058865</v>
      </c>
      <c r="E59" s="73">
        <v>2523883919</v>
      </c>
      <c r="F59" s="39" t="s">
        <v>256</v>
      </c>
      <c r="G59" s="81">
        <v>37008</v>
      </c>
      <c r="H59" s="105" t="str">
        <f t="shared" si="4"/>
        <v>April</v>
      </c>
      <c r="I59" s="51">
        <f t="shared" ca="1" si="5"/>
        <v>15</v>
      </c>
      <c r="J59" s="52" t="s">
        <v>257</v>
      </c>
      <c r="K59" s="53">
        <v>27180</v>
      </c>
      <c r="L59" s="54">
        <v>4</v>
      </c>
    </row>
    <row r="60" spans="1:12" ht="15" x14ac:dyDescent="0.25">
      <c r="A60" s="39" t="s">
        <v>910</v>
      </c>
      <c r="B60" s="46" t="s">
        <v>285</v>
      </c>
      <c r="C60" s="39" t="s">
        <v>312</v>
      </c>
      <c r="D60" s="72">
        <v>334574480</v>
      </c>
      <c r="E60" s="73">
        <v>2525165289</v>
      </c>
      <c r="F60" s="39" t="s">
        <v>256</v>
      </c>
      <c r="G60" s="81">
        <v>36506</v>
      </c>
      <c r="H60" s="105" t="str">
        <f t="shared" si="4"/>
        <v>December</v>
      </c>
      <c r="I60" s="51">
        <f t="shared" ca="1" si="5"/>
        <v>16</v>
      </c>
      <c r="J60" s="52" t="s">
        <v>283</v>
      </c>
      <c r="K60" s="53">
        <v>32100</v>
      </c>
      <c r="L60" s="54">
        <v>1</v>
      </c>
    </row>
    <row r="61" spans="1:12" ht="15" x14ac:dyDescent="0.25">
      <c r="A61" s="39" t="s">
        <v>692</v>
      </c>
      <c r="B61" s="46" t="s">
        <v>271</v>
      </c>
      <c r="C61" s="39" t="s">
        <v>312</v>
      </c>
      <c r="D61" s="72">
        <v>873100939</v>
      </c>
      <c r="E61" s="73">
        <v>9191259179</v>
      </c>
      <c r="F61" s="39" t="s">
        <v>256</v>
      </c>
      <c r="G61" s="81">
        <v>40085</v>
      </c>
      <c r="H61" s="105" t="str">
        <f t="shared" si="4"/>
        <v>September</v>
      </c>
      <c r="I61" s="51">
        <f t="shared" ca="1" si="5"/>
        <v>7</v>
      </c>
      <c r="J61" s="52" t="s">
        <v>257</v>
      </c>
      <c r="K61" s="53">
        <v>41490</v>
      </c>
      <c r="L61" s="54">
        <v>5</v>
      </c>
    </row>
    <row r="62" spans="1:12" ht="15" x14ac:dyDescent="0.25">
      <c r="A62" s="39" t="s">
        <v>301</v>
      </c>
      <c r="B62" s="46" t="s">
        <v>271</v>
      </c>
      <c r="C62" s="39" t="s">
        <v>312</v>
      </c>
      <c r="D62" s="72">
        <v>242099349</v>
      </c>
      <c r="E62" s="73">
        <v>2526576057</v>
      </c>
      <c r="F62" s="39" t="s">
        <v>256</v>
      </c>
      <c r="G62" s="81">
        <v>40501</v>
      </c>
      <c r="H62" s="105" t="str">
        <f t="shared" si="4"/>
        <v>November</v>
      </c>
      <c r="I62" s="51">
        <f t="shared" ca="1" si="5"/>
        <v>5</v>
      </c>
      <c r="J62" s="52" t="s">
        <v>267</v>
      </c>
      <c r="K62" s="53">
        <v>77820</v>
      </c>
      <c r="L62" s="54">
        <v>3</v>
      </c>
    </row>
    <row r="63" spans="1:12" ht="15" x14ac:dyDescent="0.25">
      <c r="A63" s="39" t="s">
        <v>562</v>
      </c>
      <c r="B63" s="46" t="s">
        <v>285</v>
      </c>
      <c r="C63" s="39" t="s">
        <v>312</v>
      </c>
      <c r="D63" s="72">
        <v>905675120</v>
      </c>
      <c r="E63" s="73">
        <v>9192526124</v>
      </c>
      <c r="F63" s="39" t="s">
        <v>256</v>
      </c>
      <c r="G63" s="81">
        <v>35207</v>
      </c>
      <c r="H63" s="105" t="str">
        <f t="shared" si="4"/>
        <v>May</v>
      </c>
      <c r="I63" s="51">
        <f t="shared" ca="1" si="5"/>
        <v>20</v>
      </c>
      <c r="J63" s="52" t="s">
        <v>267</v>
      </c>
      <c r="K63" s="53">
        <v>77580</v>
      </c>
      <c r="L63" s="54">
        <v>3</v>
      </c>
    </row>
    <row r="64" spans="1:12" ht="15" x14ac:dyDescent="0.25">
      <c r="A64" s="39" t="s">
        <v>703</v>
      </c>
      <c r="B64" s="46" t="s">
        <v>271</v>
      </c>
      <c r="C64" s="39" t="s">
        <v>312</v>
      </c>
      <c r="D64" s="72">
        <v>923665952</v>
      </c>
      <c r="E64" s="73">
        <v>2525295649</v>
      </c>
      <c r="F64" s="39" t="s">
        <v>256</v>
      </c>
      <c r="G64" s="81">
        <v>35086</v>
      </c>
      <c r="H64" s="105" t="str">
        <f t="shared" si="4"/>
        <v>January</v>
      </c>
      <c r="I64" s="51">
        <f t="shared" ca="1" si="5"/>
        <v>20</v>
      </c>
      <c r="J64" s="52" t="s">
        <v>267</v>
      </c>
      <c r="K64" s="53">
        <v>77350</v>
      </c>
      <c r="L64" s="54">
        <v>5</v>
      </c>
    </row>
    <row r="65" spans="1:12" ht="15" x14ac:dyDescent="0.25">
      <c r="A65" s="39" t="s">
        <v>599</v>
      </c>
      <c r="B65" s="46" t="s">
        <v>245</v>
      </c>
      <c r="C65" s="39" t="s">
        <v>312</v>
      </c>
      <c r="D65" s="72">
        <v>474999228</v>
      </c>
      <c r="E65" s="73">
        <v>9193848677</v>
      </c>
      <c r="F65" s="39" t="s">
        <v>247</v>
      </c>
      <c r="G65" s="81">
        <v>36087</v>
      </c>
      <c r="H65" s="105" t="str">
        <f t="shared" si="4"/>
        <v>October</v>
      </c>
      <c r="I65" s="51">
        <f t="shared" ca="1" si="5"/>
        <v>18</v>
      </c>
      <c r="J65" s="52"/>
      <c r="K65" s="53">
        <v>76930</v>
      </c>
      <c r="L65" s="54">
        <v>1</v>
      </c>
    </row>
    <row r="66" spans="1:12" ht="15" x14ac:dyDescent="0.25">
      <c r="A66" s="39" t="s">
        <v>1008</v>
      </c>
      <c r="B66" s="46" t="s">
        <v>280</v>
      </c>
      <c r="C66" s="39" t="s">
        <v>312</v>
      </c>
      <c r="D66" s="72">
        <v>683222853</v>
      </c>
      <c r="E66" s="73">
        <v>9196224056</v>
      </c>
      <c r="F66" s="39" t="s">
        <v>247</v>
      </c>
      <c r="G66" s="81">
        <v>39922</v>
      </c>
      <c r="H66" s="105" t="str">
        <f t="shared" si="4"/>
        <v>April</v>
      </c>
      <c r="I66" s="51">
        <f t="shared" ca="1" si="5"/>
        <v>7</v>
      </c>
      <c r="J66" s="52"/>
      <c r="K66" s="53">
        <v>25790</v>
      </c>
      <c r="L66" s="54">
        <v>3</v>
      </c>
    </row>
    <row r="67" spans="1:12" ht="15" x14ac:dyDescent="0.25">
      <c r="A67" s="39" t="s">
        <v>770</v>
      </c>
      <c r="B67" s="46" t="s">
        <v>271</v>
      </c>
      <c r="C67" s="39" t="s">
        <v>312</v>
      </c>
      <c r="D67" s="72">
        <v>627678686</v>
      </c>
      <c r="E67" s="73">
        <v>2526101454</v>
      </c>
      <c r="F67" s="39" t="s">
        <v>247</v>
      </c>
      <c r="G67" s="81">
        <v>35505</v>
      </c>
      <c r="H67" s="105" t="str">
        <f t="shared" si="4"/>
        <v>March</v>
      </c>
      <c r="I67" s="51">
        <f t="shared" ca="1" si="5"/>
        <v>19</v>
      </c>
      <c r="J67" s="52"/>
      <c r="K67" s="53">
        <v>74740</v>
      </c>
      <c r="L67" s="54">
        <v>5</v>
      </c>
    </row>
    <row r="68" spans="1:12" ht="15" x14ac:dyDescent="0.25">
      <c r="A68" s="39" t="s">
        <v>861</v>
      </c>
      <c r="B68" s="46" t="s">
        <v>251</v>
      </c>
      <c r="C68" s="39" t="s">
        <v>312</v>
      </c>
      <c r="D68" s="72">
        <v>877122222</v>
      </c>
      <c r="E68" s="73">
        <v>9195511103</v>
      </c>
      <c r="F68" s="39" t="s">
        <v>256</v>
      </c>
      <c r="G68" s="81">
        <v>40575</v>
      </c>
      <c r="H68" s="105" t="str">
        <f t="shared" si="4"/>
        <v>February</v>
      </c>
      <c r="I68" s="51">
        <f t="shared" ca="1" si="5"/>
        <v>5</v>
      </c>
      <c r="J68" s="52" t="s">
        <v>276</v>
      </c>
      <c r="K68" s="53">
        <v>74710</v>
      </c>
      <c r="L68" s="54">
        <v>2</v>
      </c>
    </row>
    <row r="69" spans="1:12" ht="15" x14ac:dyDescent="0.25">
      <c r="A69" s="39" t="s">
        <v>864</v>
      </c>
      <c r="B69" s="46" t="s">
        <v>285</v>
      </c>
      <c r="C69" s="39" t="s">
        <v>312</v>
      </c>
      <c r="D69" s="72">
        <v>496260023</v>
      </c>
      <c r="E69" s="73">
        <v>2523962015</v>
      </c>
      <c r="F69" s="39" t="s">
        <v>256</v>
      </c>
      <c r="G69" s="81">
        <v>34474</v>
      </c>
      <c r="H69" s="105" t="str">
        <f t="shared" si="4"/>
        <v>May</v>
      </c>
      <c r="I69" s="51">
        <f t="shared" ca="1" si="5"/>
        <v>22</v>
      </c>
      <c r="J69" s="52" t="s">
        <v>262</v>
      </c>
      <c r="K69" s="53">
        <v>74670</v>
      </c>
      <c r="L69" s="54">
        <v>5</v>
      </c>
    </row>
    <row r="70" spans="1:12" ht="15" x14ac:dyDescent="0.25">
      <c r="A70" s="39" t="s">
        <v>651</v>
      </c>
      <c r="B70" s="46" t="s">
        <v>271</v>
      </c>
      <c r="C70" s="39" t="s">
        <v>312</v>
      </c>
      <c r="D70" s="72">
        <v>513140687</v>
      </c>
      <c r="E70" s="73">
        <v>9192163497</v>
      </c>
      <c r="F70" s="39" t="s">
        <v>247</v>
      </c>
      <c r="G70" s="81">
        <v>33228</v>
      </c>
      <c r="H70" s="105" t="str">
        <f t="shared" si="4"/>
        <v>December</v>
      </c>
      <c r="I70" s="51">
        <f t="shared" ca="1" si="5"/>
        <v>25</v>
      </c>
      <c r="J70" s="52"/>
      <c r="K70" s="53">
        <v>42940</v>
      </c>
      <c r="L70" s="54">
        <v>1</v>
      </c>
    </row>
    <row r="71" spans="1:12" ht="15" x14ac:dyDescent="0.25">
      <c r="A71" s="45" t="s">
        <v>275</v>
      </c>
      <c r="B71" s="46" t="s">
        <v>280</v>
      </c>
      <c r="C71" s="39" t="s">
        <v>312</v>
      </c>
      <c r="D71" s="72">
        <v>163292583</v>
      </c>
      <c r="E71" s="73">
        <v>2522005810</v>
      </c>
      <c r="F71" s="39" t="s">
        <v>247</v>
      </c>
      <c r="G71" s="81">
        <v>36038</v>
      </c>
      <c r="H71" s="105" t="str">
        <f t="shared" si="4"/>
        <v>August</v>
      </c>
      <c r="I71" s="51">
        <f t="shared" ca="1" si="5"/>
        <v>18</v>
      </c>
      <c r="J71" s="52"/>
      <c r="K71" s="53">
        <v>30340</v>
      </c>
      <c r="L71" s="54">
        <v>3</v>
      </c>
    </row>
    <row r="72" spans="1:12" ht="15" x14ac:dyDescent="0.25">
      <c r="A72" s="39" t="s">
        <v>877</v>
      </c>
      <c r="B72" s="46" t="s">
        <v>271</v>
      </c>
      <c r="C72" s="39" t="s">
        <v>312</v>
      </c>
      <c r="D72" s="72">
        <v>831188207</v>
      </c>
      <c r="E72" s="73">
        <v>9192121334</v>
      </c>
      <c r="F72" s="39" t="s">
        <v>256</v>
      </c>
      <c r="G72" s="81">
        <v>37241</v>
      </c>
      <c r="H72" s="105" t="str">
        <f t="shared" si="4"/>
        <v>December</v>
      </c>
      <c r="I72" s="51">
        <f t="shared" ca="1" si="5"/>
        <v>14</v>
      </c>
      <c r="J72" s="52" t="s">
        <v>257</v>
      </c>
      <c r="K72" s="53">
        <v>71950</v>
      </c>
      <c r="L72" s="54">
        <v>5</v>
      </c>
    </row>
    <row r="73" spans="1:12" ht="15" x14ac:dyDescent="0.25">
      <c r="A73" s="39" t="s">
        <v>968</v>
      </c>
      <c r="B73" s="46" t="s">
        <v>266</v>
      </c>
      <c r="C73" s="39" t="s">
        <v>312</v>
      </c>
      <c r="D73" s="72">
        <v>867671341</v>
      </c>
      <c r="E73" s="73">
        <v>2528317543</v>
      </c>
      <c r="F73" s="39" t="s">
        <v>261</v>
      </c>
      <c r="G73" s="81">
        <v>36896</v>
      </c>
      <c r="H73" s="105" t="str">
        <f t="shared" si="4"/>
        <v>January</v>
      </c>
      <c r="I73" s="51">
        <f t="shared" ca="1" si="5"/>
        <v>15</v>
      </c>
      <c r="J73" s="52" t="s">
        <v>257</v>
      </c>
      <c r="K73" s="53">
        <v>35280</v>
      </c>
      <c r="L73" s="54">
        <v>3</v>
      </c>
    </row>
    <row r="74" spans="1:12" ht="15" x14ac:dyDescent="0.25">
      <c r="A74" s="39" t="s">
        <v>647</v>
      </c>
      <c r="B74" s="46" t="s">
        <v>285</v>
      </c>
      <c r="C74" s="39" t="s">
        <v>312</v>
      </c>
      <c r="D74" s="72">
        <v>951516517</v>
      </c>
      <c r="E74" s="73">
        <v>2524936058</v>
      </c>
      <c r="F74" s="39" t="s">
        <v>256</v>
      </c>
      <c r="G74" s="81">
        <v>33895</v>
      </c>
      <c r="H74" s="105" t="str">
        <f t="shared" ref="H74:H100" si="6">CHOOSE(MONTH(G74),"January","February","March","April","May","June","July","August","September","October","November","December")</f>
        <v>October</v>
      </c>
      <c r="I74" s="51">
        <f t="shared" ref="I74:I100" ca="1" si="7">DATEDIF(G74,TODAY(),"Y")</f>
        <v>24</v>
      </c>
      <c r="J74" s="52" t="s">
        <v>283</v>
      </c>
      <c r="K74" s="53">
        <v>71670</v>
      </c>
      <c r="L74" s="54">
        <v>4</v>
      </c>
    </row>
    <row r="75" spans="1:12" ht="15" x14ac:dyDescent="0.25">
      <c r="A75" s="39" t="s">
        <v>961</v>
      </c>
      <c r="B75" s="46" t="s">
        <v>245</v>
      </c>
      <c r="C75" s="39" t="s">
        <v>312</v>
      </c>
      <c r="D75" s="72">
        <v>721173550</v>
      </c>
      <c r="E75" s="73">
        <v>2528356334</v>
      </c>
      <c r="F75" s="39" t="s">
        <v>256</v>
      </c>
      <c r="G75" s="81">
        <v>33786</v>
      </c>
      <c r="H75" s="105" t="str">
        <f t="shared" si="6"/>
        <v>July</v>
      </c>
      <c r="I75" s="51">
        <f t="shared" ca="1" si="7"/>
        <v>24</v>
      </c>
      <c r="J75" s="52" t="s">
        <v>257</v>
      </c>
      <c r="K75" s="53">
        <v>71150</v>
      </c>
      <c r="L75" s="54">
        <v>2</v>
      </c>
    </row>
    <row r="76" spans="1:12" ht="15" x14ac:dyDescent="0.25">
      <c r="A76" s="39" t="s">
        <v>340</v>
      </c>
      <c r="B76" s="46" t="s">
        <v>245</v>
      </c>
      <c r="C76" s="39" t="s">
        <v>312</v>
      </c>
      <c r="D76" s="72">
        <v>339398339</v>
      </c>
      <c r="E76" s="73">
        <v>2527682821</v>
      </c>
      <c r="F76" s="39" t="s">
        <v>256</v>
      </c>
      <c r="G76" s="81">
        <v>35965</v>
      </c>
      <c r="H76" s="105" t="str">
        <f t="shared" si="6"/>
        <v>June</v>
      </c>
      <c r="I76" s="76">
        <f t="shared" ca="1" si="7"/>
        <v>18</v>
      </c>
      <c r="J76" s="77" t="s">
        <v>267</v>
      </c>
      <c r="K76" s="53">
        <v>34780</v>
      </c>
      <c r="L76" s="54">
        <v>4</v>
      </c>
    </row>
    <row r="77" spans="1:12" ht="15" x14ac:dyDescent="0.25">
      <c r="A77" s="39" t="s">
        <v>779</v>
      </c>
      <c r="B77" s="46" t="s">
        <v>285</v>
      </c>
      <c r="C77" s="39" t="s">
        <v>312</v>
      </c>
      <c r="D77" s="72">
        <v>129397083</v>
      </c>
      <c r="E77" s="73">
        <v>2521391475</v>
      </c>
      <c r="F77" s="39" t="s">
        <v>256</v>
      </c>
      <c r="G77" s="81">
        <v>40596</v>
      </c>
      <c r="H77" s="105" t="str">
        <f t="shared" si="6"/>
        <v>February</v>
      </c>
      <c r="I77" s="51">
        <f t="shared" ca="1" si="7"/>
        <v>5</v>
      </c>
      <c r="J77" s="52" t="s">
        <v>267</v>
      </c>
      <c r="K77" s="53">
        <v>68910</v>
      </c>
      <c r="L77" s="54">
        <v>5</v>
      </c>
    </row>
    <row r="78" spans="1:12" ht="15" x14ac:dyDescent="0.25">
      <c r="A78" s="39" t="s">
        <v>887</v>
      </c>
      <c r="B78" s="46" t="s">
        <v>285</v>
      </c>
      <c r="C78" s="39" t="s">
        <v>312</v>
      </c>
      <c r="D78" s="72">
        <v>349979288</v>
      </c>
      <c r="E78" s="73">
        <v>9194629972</v>
      </c>
      <c r="F78" s="39" t="s">
        <v>256</v>
      </c>
      <c r="G78" s="81">
        <v>37018</v>
      </c>
      <c r="H78" s="105" t="str">
        <f t="shared" si="6"/>
        <v>May</v>
      </c>
      <c r="I78" s="51">
        <f t="shared" ca="1" si="7"/>
        <v>15</v>
      </c>
      <c r="J78" s="52" t="s">
        <v>283</v>
      </c>
      <c r="K78" s="53">
        <v>28650</v>
      </c>
      <c r="L78" s="54">
        <v>4</v>
      </c>
    </row>
    <row r="79" spans="1:12" ht="15" x14ac:dyDescent="0.25">
      <c r="A79" s="39" t="s">
        <v>931</v>
      </c>
      <c r="B79" s="46" t="s">
        <v>266</v>
      </c>
      <c r="C79" s="39" t="s">
        <v>312</v>
      </c>
      <c r="D79" s="72">
        <v>964243524</v>
      </c>
      <c r="E79" s="73">
        <v>2522339143</v>
      </c>
      <c r="F79" s="39" t="s">
        <v>256</v>
      </c>
      <c r="G79" s="81">
        <v>34996</v>
      </c>
      <c r="H79" s="105" t="str">
        <f t="shared" si="6"/>
        <v>October</v>
      </c>
      <c r="I79" s="51">
        <f t="shared" ca="1" si="7"/>
        <v>21</v>
      </c>
      <c r="J79" s="52" t="s">
        <v>257</v>
      </c>
      <c r="K79" s="53">
        <v>67890</v>
      </c>
      <c r="L79" s="54">
        <v>5</v>
      </c>
    </row>
    <row r="80" spans="1:12" ht="15" x14ac:dyDescent="0.25">
      <c r="A80" s="39" t="s">
        <v>811</v>
      </c>
      <c r="B80" s="46" t="s">
        <v>271</v>
      </c>
      <c r="C80" s="39" t="s">
        <v>312</v>
      </c>
      <c r="D80" s="72">
        <v>639314672</v>
      </c>
      <c r="E80" s="73">
        <v>9191919478</v>
      </c>
      <c r="F80" s="39" t="s">
        <v>261</v>
      </c>
      <c r="G80" s="81">
        <v>35842</v>
      </c>
      <c r="H80" s="105" t="str">
        <f t="shared" si="6"/>
        <v>February</v>
      </c>
      <c r="I80" s="51">
        <f t="shared" ca="1" si="7"/>
        <v>18</v>
      </c>
      <c r="J80" s="52" t="s">
        <v>276</v>
      </c>
      <c r="K80" s="53">
        <v>23380</v>
      </c>
      <c r="L80" s="54">
        <v>4</v>
      </c>
    </row>
    <row r="81" spans="1:12" ht="15" x14ac:dyDescent="0.25">
      <c r="A81" s="39" t="s">
        <v>309</v>
      </c>
      <c r="B81" s="46" t="s">
        <v>285</v>
      </c>
      <c r="C81" s="39" t="s">
        <v>312</v>
      </c>
      <c r="D81" s="72">
        <v>856215418</v>
      </c>
      <c r="E81" s="73">
        <v>2526168483</v>
      </c>
      <c r="F81" s="39" t="s">
        <v>252</v>
      </c>
      <c r="G81" s="81">
        <v>36602</v>
      </c>
      <c r="H81" s="105" t="str">
        <f t="shared" si="6"/>
        <v>March</v>
      </c>
      <c r="I81" s="51">
        <f t="shared" ca="1" si="7"/>
        <v>16</v>
      </c>
      <c r="J81" s="52"/>
      <c r="K81" s="53">
        <v>30080</v>
      </c>
      <c r="L81" s="54">
        <v>3</v>
      </c>
    </row>
    <row r="82" spans="1:12" ht="15" x14ac:dyDescent="0.25">
      <c r="A82" s="39" t="s">
        <v>613</v>
      </c>
      <c r="B82" s="46" t="s">
        <v>245</v>
      </c>
      <c r="C82" s="39" t="s">
        <v>312</v>
      </c>
      <c r="D82" s="72">
        <v>365117800</v>
      </c>
      <c r="E82" s="73">
        <v>2524125146</v>
      </c>
      <c r="F82" s="39" t="s">
        <v>256</v>
      </c>
      <c r="G82" s="81">
        <v>37960</v>
      </c>
      <c r="H82" s="105" t="str">
        <f t="shared" si="6"/>
        <v>December</v>
      </c>
      <c r="I82" s="51">
        <f t="shared" ca="1" si="7"/>
        <v>12</v>
      </c>
      <c r="J82" s="52" t="s">
        <v>257</v>
      </c>
      <c r="K82" s="53">
        <v>66890</v>
      </c>
      <c r="L82" s="54">
        <v>5</v>
      </c>
    </row>
    <row r="83" spans="1:12" ht="15" x14ac:dyDescent="0.25">
      <c r="A83" s="39" t="s">
        <v>963</v>
      </c>
      <c r="B83" s="46" t="s">
        <v>251</v>
      </c>
      <c r="C83" s="39" t="s">
        <v>312</v>
      </c>
      <c r="D83" s="72">
        <v>403504590</v>
      </c>
      <c r="E83" s="73">
        <v>9192400511</v>
      </c>
      <c r="F83" s="39" t="s">
        <v>247</v>
      </c>
      <c r="G83" s="81">
        <v>33678</v>
      </c>
      <c r="H83" s="105" t="str">
        <f t="shared" si="6"/>
        <v>March</v>
      </c>
      <c r="I83" s="51">
        <f t="shared" ca="1" si="7"/>
        <v>24</v>
      </c>
      <c r="J83" s="52"/>
      <c r="K83" s="53">
        <v>64460</v>
      </c>
      <c r="L83" s="54">
        <v>1</v>
      </c>
    </row>
    <row r="84" spans="1:12" ht="15" x14ac:dyDescent="0.25">
      <c r="A84" s="39" t="s">
        <v>290</v>
      </c>
      <c r="B84" s="46" t="s">
        <v>280</v>
      </c>
      <c r="C84" s="39" t="s">
        <v>312</v>
      </c>
      <c r="D84" s="72">
        <v>247276092</v>
      </c>
      <c r="E84" s="73">
        <v>2522636516</v>
      </c>
      <c r="F84" s="39" t="s">
        <v>247</v>
      </c>
      <c r="G84" s="81">
        <v>35119</v>
      </c>
      <c r="H84" s="105" t="str">
        <f t="shared" si="6"/>
        <v>February</v>
      </c>
      <c r="I84" s="51">
        <f t="shared" ca="1" si="7"/>
        <v>20</v>
      </c>
      <c r="J84" s="52"/>
      <c r="K84" s="53">
        <v>64390</v>
      </c>
      <c r="L84" s="54">
        <v>2</v>
      </c>
    </row>
    <row r="85" spans="1:12" ht="15" x14ac:dyDescent="0.25">
      <c r="A85" s="39" t="s">
        <v>329</v>
      </c>
      <c r="B85" s="46" t="s">
        <v>245</v>
      </c>
      <c r="C85" s="39" t="s">
        <v>312</v>
      </c>
      <c r="D85" s="72">
        <v>393393249</v>
      </c>
      <c r="E85" s="73">
        <v>9194980674</v>
      </c>
      <c r="F85" s="39" t="s">
        <v>247</v>
      </c>
      <c r="G85" s="81">
        <v>36470</v>
      </c>
      <c r="H85" s="105" t="str">
        <f t="shared" si="6"/>
        <v>November</v>
      </c>
      <c r="I85" s="51">
        <f t="shared" ca="1" si="7"/>
        <v>17</v>
      </c>
      <c r="J85" s="52"/>
      <c r="K85" s="53">
        <v>23560</v>
      </c>
      <c r="L85" s="54">
        <v>3</v>
      </c>
    </row>
    <row r="86" spans="1:12" ht="15" x14ac:dyDescent="0.25">
      <c r="A86" s="39" t="s">
        <v>1023</v>
      </c>
      <c r="B86" s="46" t="s">
        <v>245</v>
      </c>
      <c r="C86" s="39" t="s">
        <v>312</v>
      </c>
      <c r="D86" s="72">
        <v>822974734</v>
      </c>
      <c r="E86" s="73">
        <v>2524924736</v>
      </c>
      <c r="F86" s="39" t="s">
        <v>252</v>
      </c>
      <c r="G86" s="81">
        <v>36487</v>
      </c>
      <c r="H86" s="105" t="str">
        <f t="shared" si="6"/>
        <v>November</v>
      </c>
      <c r="I86" s="51">
        <f t="shared" ca="1" si="7"/>
        <v>16</v>
      </c>
      <c r="J86" s="52"/>
      <c r="K86" s="53">
        <v>33056</v>
      </c>
      <c r="L86" s="54">
        <v>5</v>
      </c>
    </row>
    <row r="87" spans="1:12" ht="15" x14ac:dyDescent="0.25">
      <c r="A87" s="39" t="s">
        <v>636</v>
      </c>
      <c r="B87" s="46" t="s">
        <v>285</v>
      </c>
      <c r="C87" s="39" t="s">
        <v>312</v>
      </c>
      <c r="D87" s="72">
        <v>667812117</v>
      </c>
      <c r="E87" s="73">
        <v>2526396432</v>
      </c>
      <c r="F87" s="39" t="s">
        <v>256</v>
      </c>
      <c r="G87" s="81">
        <v>33746</v>
      </c>
      <c r="H87" s="105" t="str">
        <f t="shared" si="6"/>
        <v>May</v>
      </c>
      <c r="I87" s="51">
        <f t="shared" ca="1" si="7"/>
        <v>24</v>
      </c>
      <c r="J87" s="52" t="s">
        <v>262</v>
      </c>
      <c r="K87" s="53">
        <v>31830</v>
      </c>
      <c r="L87" s="54">
        <v>3</v>
      </c>
    </row>
    <row r="88" spans="1:12" ht="15" x14ac:dyDescent="0.25">
      <c r="A88" s="39" t="s">
        <v>404</v>
      </c>
      <c r="B88" s="46" t="s">
        <v>271</v>
      </c>
      <c r="C88" s="39" t="s">
        <v>312</v>
      </c>
      <c r="D88" s="72">
        <v>504735443</v>
      </c>
      <c r="E88" s="73">
        <v>9191629556</v>
      </c>
      <c r="F88" s="39" t="s">
        <v>247</v>
      </c>
      <c r="G88" s="81">
        <v>35902</v>
      </c>
      <c r="H88" s="105" t="str">
        <f t="shared" si="6"/>
        <v>April</v>
      </c>
      <c r="I88" s="51">
        <f t="shared" ca="1" si="7"/>
        <v>18</v>
      </c>
      <c r="J88" s="52"/>
      <c r="K88" s="53">
        <v>63340</v>
      </c>
      <c r="L88" s="54">
        <v>3</v>
      </c>
    </row>
    <row r="89" spans="1:12" ht="15" x14ac:dyDescent="0.25">
      <c r="A89" s="39" t="s">
        <v>682</v>
      </c>
      <c r="B89" s="46" t="s">
        <v>271</v>
      </c>
      <c r="C89" s="39" t="s">
        <v>312</v>
      </c>
      <c r="D89" s="72">
        <v>436693732</v>
      </c>
      <c r="E89" s="73">
        <v>2524077699</v>
      </c>
      <c r="F89" s="39" t="s">
        <v>256</v>
      </c>
      <c r="G89" s="81">
        <v>37176</v>
      </c>
      <c r="H89" s="105" t="str">
        <f t="shared" si="6"/>
        <v>October</v>
      </c>
      <c r="I89" s="51">
        <f t="shared" ca="1" si="7"/>
        <v>15</v>
      </c>
      <c r="J89" s="52" t="s">
        <v>267</v>
      </c>
      <c r="K89" s="53">
        <v>62790</v>
      </c>
      <c r="L89" s="54">
        <v>2</v>
      </c>
    </row>
    <row r="90" spans="1:12" ht="15" x14ac:dyDescent="0.25">
      <c r="A90" s="39" t="s">
        <v>371</v>
      </c>
      <c r="B90" s="46" t="s">
        <v>245</v>
      </c>
      <c r="C90" s="39" t="s">
        <v>312</v>
      </c>
      <c r="D90" s="72">
        <v>580960042</v>
      </c>
      <c r="E90" s="73">
        <v>9197528456</v>
      </c>
      <c r="F90" s="39" t="s">
        <v>247</v>
      </c>
      <c r="G90" s="81">
        <v>39040</v>
      </c>
      <c r="H90" s="105" t="str">
        <f t="shared" si="6"/>
        <v>November</v>
      </c>
      <c r="I90" s="51">
        <f t="shared" ca="1" si="7"/>
        <v>9</v>
      </c>
      <c r="J90" s="52"/>
      <c r="K90" s="53">
        <v>62150</v>
      </c>
      <c r="L90" s="54">
        <v>4</v>
      </c>
    </row>
    <row r="91" spans="1:12" ht="15" x14ac:dyDescent="0.25">
      <c r="A91" s="39" t="s">
        <v>611</v>
      </c>
      <c r="B91" s="46" t="s">
        <v>271</v>
      </c>
      <c r="C91" s="39" t="s">
        <v>312</v>
      </c>
      <c r="D91" s="72">
        <v>721169660</v>
      </c>
      <c r="E91" s="73">
        <v>2526711140</v>
      </c>
      <c r="F91" s="39" t="s">
        <v>256</v>
      </c>
      <c r="G91" s="81">
        <v>40274</v>
      </c>
      <c r="H91" s="105" t="str">
        <f t="shared" si="6"/>
        <v>April</v>
      </c>
      <c r="I91" s="51">
        <f t="shared" ca="1" si="7"/>
        <v>6</v>
      </c>
      <c r="J91" s="52" t="s">
        <v>262</v>
      </c>
      <c r="K91" s="53">
        <v>38730</v>
      </c>
      <c r="L91" s="54">
        <v>1</v>
      </c>
    </row>
    <row r="92" spans="1:12" ht="15" x14ac:dyDescent="0.25">
      <c r="A92" s="39" t="s">
        <v>589</v>
      </c>
      <c r="B92" s="46" t="s">
        <v>271</v>
      </c>
      <c r="C92" s="39" t="s">
        <v>312</v>
      </c>
      <c r="D92" s="72">
        <v>459522265</v>
      </c>
      <c r="E92" s="73">
        <v>2524633649</v>
      </c>
      <c r="F92" s="39" t="s">
        <v>256</v>
      </c>
      <c r="G92" s="81">
        <v>33575</v>
      </c>
      <c r="H92" s="105" t="str">
        <f t="shared" si="6"/>
        <v>December</v>
      </c>
      <c r="I92" s="51">
        <f t="shared" ca="1" si="7"/>
        <v>24</v>
      </c>
      <c r="J92" s="52" t="s">
        <v>262</v>
      </c>
      <c r="K92" s="53">
        <v>61400</v>
      </c>
      <c r="L92" s="54">
        <v>5</v>
      </c>
    </row>
    <row r="93" spans="1:12" ht="15" x14ac:dyDescent="0.25">
      <c r="A93" s="39" t="s">
        <v>729</v>
      </c>
      <c r="B93" s="46" t="s">
        <v>285</v>
      </c>
      <c r="C93" s="39" t="s">
        <v>312</v>
      </c>
      <c r="D93" s="72">
        <v>571120098</v>
      </c>
      <c r="E93" s="73">
        <v>2525789252</v>
      </c>
      <c r="F93" s="39" t="s">
        <v>256</v>
      </c>
      <c r="G93" s="81">
        <v>35829</v>
      </c>
      <c r="H93" s="105" t="str">
        <f t="shared" si="6"/>
        <v>February</v>
      </c>
      <c r="I93" s="51">
        <f t="shared" ca="1" si="7"/>
        <v>18</v>
      </c>
      <c r="J93" s="52" t="s">
        <v>257</v>
      </c>
      <c r="K93" s="53">
        <v>61030</v>
      </c>
      <c r="L93" s="54">
        <v>3</v>
      </c>
    </row>
    <row r="94" spans="1:12" ht="15" x14ac:dyDescent="0.25">
      <c r="A94" s="39" t="s">
        <v>311</v>
      </c>
      <c r="B94" s="46" t="s">
        <v>245</v>
      </c>
      <c r="C94" s="39" t="s">
        <v>312</v>
      </c>
      <c r="D94" s="72">
        <v>126492342</v>
      </c>
      <c r="E94" s="73">
        <v>9196299247</v>
      </c>
      <c r="F94" s="39" t="s">
        <v>252</v>
      </c>
      <c r="G94" s="81">
        <v>36059</v>
      </c>
      <c r="H94" s="105" t="str">
        <f t="shared" si="6"/>
        <v>September</v>
      </c>
      <c r="I94" s="51">
        <f t="shared" ca="1" si="7"/>
        <v>18</v>
      </c>
      <c r="J94" s="52"/>
      <c r="K94" s="53">
        <v>18500</v>
      </c>
      <c r="L94" s="54">
        <v>5</v>
      </c>
    </row>
    <row r="95" spans="1:12" ht="15" x14ac:dyDescent="0.25">
      <c r="A95" s="39" t="s">
        <v>781</v>
      </c>
      <c r="B95" s="46" t="s">
        <v>285</v>
      </c>
      <c r="C95" s="39" t="s">
        <v>312</v>
      </c>
      <c r="D95" s="72">
        <v>768215237</v>
      </c>
      <c r="E95" s="73">
        <v>9195993367</v>
      </c>
      <c r="F95" s="39" t="s">
        <v>261</v>
      </c>
      <c r="G95" s="81">
        <v>33472</v>
      </c>
      <c r="H95" s="105" t="str">
        <f t="shared" si="6"/>
        <v>August</v>
      </c>
      <c r="I95" s="51">
        <f t="shared" ca="1" si="7"/>
        <v>25</v>
      </c>
      <c r="J95" s="52" t="s">
        <v>262</v>
      </c>
      <c r="K95" s="53">
        <v>13800</v>
      </c>
      <c r="L95" s="54">
        <v>3</v>
      </c>
    </row>
    <row r="96" spans="1:12" ht="15" x14ac:dyDescent="0.25">
      <c r="A96" s="39" t="s">
        <v>839</v>
      </c>
      <c r="B96" s="46" t="s">
        <v>245</v>
      </c>
      <c r="C96" s="39" t="s">
        <v>312</v>
      </c>
      <c r="D96" s="72">
        <v>676534152</v>
      </c>
      <c r="E96" s="73">
        <v>9194416232</v>
      </c>
      <c r="F96" s="39" t="s">
        <v>256</v>
      </c>
      <c r="G96" s="103">
        <v>40292</v>
      </c>
      <c r="H96" s="105" t="str">
        <f t="shared" si="6"/>
        <v>April</v>
      </c>
      <c r="I96" s="51">
        <f t="shared" ca="1" si="7"/>
        <v>6</v>
      </c>
      <c r="J96" s="52" t="s">
        <v>257</v>
      </c>
      <c r="K96" s="53">
        <v>23280</v>
      </c>
      <c r="L96" s="54">
        <v>1</v>
      </c>
    </row>
    <row r="97" spans="1:12" ht="15" x14ac:dyDescent="0.25">
      <c r="A97" s="39" t="s">
        <v>716</v>
      </c>
      <c r="B97" s="46" t="s">
        <v>271</v>
      </c>
      <c r="C97" s="39" t="s">
        <v>312</v>
      </c>
      <c r="D97" s="72">
        <v>147261161</v>
      </c>
      <c r="E97" s="73">
        <v>9197692593</v>
      </c>
      <c r="F97" s="39" t="s">
        <v>256</v>
      </c>
      <c r="G97" s="81">
        <v>34832</v>
      </c>
      <c r="H97" s="105" t="str">
        <f t="shared" si="6"/>
        <v>May</v>
      </c>
      <c r="I97" s="51">
        <f t="shared" ca="1" si="7"/>
        <v>21</v>
      </c>
      <c r="J97" s="52" t="s">
        <v>257</v>
      </c>
      <c r="K97" s="53">
        <v>31910</v>
      </c>
      <c r="L97" s="54">
        <v>5</v>
      </c>
    </row>
    <row r="98" spans="1:12" ht="15" x14ac:dyDescent="0.25">
      <c r="A98" s="39" t="s">
        <v>319</v>
      </c>
      <c r="B98" s="46" t="s">
        <v>285</v>
      </c>
      <c r="C98" s="39" t="s">
        <v>312</v>
      </c>
      <c r="D98" s="72">
        <v>644862142</v>
      </c>
      <c r="E98" s="73">
        <v>9193274978</v>
      </c>
      <c r="F98" s="39" t="s">
        <v>247</v>
      </c>
      <c r="G98" s="81">
        <v>34651</v>
      </c>
      <c r="H98" s="105" t="str">
        <f t="shared" si="6"/>
        <v>November</v>
      </c>
      <c r="I98" s="51">
        <f t="shared" ca="1" si="7"/>
        <v>22</v>
      </c>
      <c r="J98" s="52"/>
      <c r="K98" s="53">
        <v>46670</v>
      </c>
      <c r="L98" s="54">
        <v>3</v>
      </c>
    </row>
    <row r="99" spans="1:12" ht="15" x14ac:dyDescent="0.25">
      <c r="A99" s="39" t="s">
        <v>619</v>
      </c>
      <c r="B99" s="46" t="s">
        <v>245</v>
      </c>
      <c r="C99" s="39" t="s">
        <v>312</v>
      </c>
      <c r="D99" s="72">
        <v>841913875</v>
      </c>
      <c r="E99" s="73">
        <v>2522511732</v>
      </c>
      <c r="F99" s="39" t="s">
        <v>247</v>
      </c>
      <c r="G99" s="81">
        <v>35160</v>
      </c>
      <c r="H99" s="105" t="str">
        <f t="shared" si="6"/>
        <v>April</v>
      </c>
      <c r="I99" s="51">
        <f t="shared" ca="1" si="7"/>
        <v>20</v>
      </c>
      <c r="J99" s="52"/>
      <c r="K99" s="53">
        <v>50550</v>
      </c>
      <c r="L99" s="54">
        <v>2</v>
      </c>
    </row>
    <row r="100" spans="1:12" ht="15" x14ac:dyDescent="0.25">
      <c r="A100" s="39" t="s">
        <v>802</v>
      </c>
      <c r="B100" s="46" t="s">
        <v>266</v>
      </c>
      <c r="C100" s="39" t="s">
        <v>312</v>
      </c>
      <c r="D100" s="72">
        <v>600458368</v>
      </c>
      <c r="E100" s="73">
        <v>9197280453</v>
      </c>
      <c r="F100" s="39" t="s">
        <v>261</v>
      </c>
      <c r="G100" s="81">
        <v>39802</v>
      </c>
      <c r="H100" s="105" t="str">
        <f t="shared" si="6"/>
        <v>December</v>
      </c>
      <c r="I100" s="51">
        <f t="shared" ca="1" si="7"/>
        <v>7</v>
      </c>
      <c r="J100" s="52" t="s">
        <v>276</v>
      </c>
      <c r="K100" s="53">
        <v>22535</v>
      </c>
      <c r="L100" s="54">
        <v>3</v>
      </c>
    </row>
    <row r="101" spans="1:12" ht="15" x14ac:dyDescent="0.25">
      <c r="A101" s="39"/>
      <c r="B101" s="46"/>
      <c r="C101" s="111"/>
      <c r="D101" s="72"/>
      <c r="E101" s="73"/>
      <c r="F101" s="39"/>
      <c r="G101" s="81"/>
      <c r="H101" s="105"/>
      <c r="I101" s="51"/>
      <c r="J101" s="52"/>
      <c r="K101" s="53"/>
      <c r="L101" s="54"/>
    </row>
    <row r="102" spans="1:12" ht="15" x14ac:dyDescent="0.25">
      <c r="A102" s="39" t="s">
        <v>429</v>
      </c>
      <c r="B102" s="46" t="s">
        <v>285</v>
      </c>
      <c r="C102" s="39" t="s">
        <v>372</v>
      </c>
      <c r="D102" s="72">
        <v>272036635</v>
      </c>
      <c r="E102" s="73">
        <v>2521656242</v>
      </c>
      <c r="F102" s="39" t="s">
        <v>256</v>
      </c>
      <c r="G102" s="81">
        <v>37883</v>
      </c>
      <c r="H102" s="105" t="str">
        <f t="shared" ref="H102:H109" si="8">CHOOSE(MONTH(G102),"January","February","March","April","May","June","July","August","September","October","November","December")</f>
        <v>September</v>
      </c>
      <c r="I102" s="51">
        <f t="shared" ref="I102:I109" ca="1" si="9">DATEDIF(G102,TODAY(),"Y")</f>
        <v>13</v>
      </c>
      <c r="J102" s="52" t="s">
        <v>257</v>
      </c>
      <c r="K102" s="53">
        <v>86530</v>
      </c>
      <c r="L102" s="54">
        <v>1</v>
      </c>
    </row>
    <row r="103" spans="1:12" ht="15" x14ac:dyDescent="0.25">
      <c r="A103" s="39" t="s">
        <v>563</v>
      </c>
      <c r="B103" s="46" t="s">
        <v>271</v>
      </c>
      <c r="C103" s="39" t="s">
        <v>372</v>
      </c>
      <c r="D103" s="72">
        <v>759350847</v>
      </c>
      <c r="E103" s="73">
        <v>2527474942</v>
      </c>
      <c r="F103" s="39" t="s">
        <v>256</v>
      </c>
      <c r="G103" s="81">
        <v>38397</v>
      </c>
      <c r="H103" s="105" t="str">
        <f t="shared" si="8"/>
        <v>February</v>
      </c>
      <c r="I103" s="51">
        <f t="shared" ca="1" si="9"/>
        <v>11</v>
      </c>
      <c r="J103" s="52" t="s">
        <v>257</v>
      </c>
      <c r="K103" s="53">
        <v>36630</v>
      </c>
      <c r="L103" s="54">
        <v>4</v>
      </c>
    </row>
    <row r="104" spans="1:12" ht="15" x14ac:dyDescent="0.25">
      <c r="A104" s="39" t="s">
        <v>817</v>
      </c>
      <c r="B104" s="46" t="s">
        <v>285</v>
      </c>
      <c r="C104" s="39" t="s">
        <v>372</v>
      </c>
      <c r="D104" s="72">
        <v>920505896</v>
      </c>
      <c r="E104" s="73">
        <v>2523173691</v>
      </c>
      <c r="F104" s="39" t="s">
        <v>247</v>
      </c>
      <c r="G104" s="81">
        <v>38755</v>
      </c>
      <c r="H104" s="105" t="str">
        <f t="shared" si="8"/>
        <v>February</v>
      </c>
      <c r="I104" s="51">
        <f t="shared" ca="1" si="9"/>
        <v>10</v>
      </c>
      <c r="J104" s="52"/>
      <c r="K104" s="53">
        <v>78860</v>
      </c>
      <c r="L104" s="54">
        <v>2</v>
      </c>
    </row>
    <row r="105" spans="1:12" ht="15" x14ac:dyDescent="0.25">
      <c r="A105" s="39" t="s">
        <v>718</v>
      </c>
      <c r="B105" s="46" t="s">
        <v>285</v>
      </c>
      <c r="C105" s="39" t="s">
        <v>372</v>
      </c>
      <c r="D105" s="72">
        <v>207506781</v>
      </c>
      <c r="E105" s="73">
        <v>9194125294</v>
      </c>
      <c r="F105" s="39" t="s">
        <v>256</v>
      </c>
      <c r="G105" s="81">
        <v>39923</v>
      </c>
      <c r="H105" s="105" t="str">
        <f t="shared" si="8"/>
        <v>April</v>
      </c>
      <c r="I105" s="51">
        <f t="shared" ca="1" si="9"/>
        <v>7</v>
      </c>
      <c r="J105" s="52" t="s">
        <v>257</v>
      </c>
      <c r="K105" s="53">
        <v>76440</v>
      </c>
      <c r="L105" s="54">
        <v>3</v>
      </c>
    </row>
    <row r="106" spans="1:12" ht="15" x14ac:dyDescent="0.25">
      <c r="A106" s="39" t="s">
        <v>388</v>
      </c>
      <c r="B106" s="46" t="s">
        <v>251</v>
      </c>
      <c r="C106" s="39" t="s">
        <v>372</v>
      </c>
      <c r="D106" s="72">
        <v>640301378</v>
      </c>
      <c r="E106" s="73">
        <v>2524663056</v>
      </c>
      <c r="F106" s="39" t="s">
        <v>261</v>
      </c>
      <c r="G106" s="103">
        <v>40505</v>
      </c>
      <c r="H106" s="105" t="str">
        <f t="shared" si="8"/>
        <v>November</v>
      </c>
      <c r="I106" s="51">
        <f t="shared" ca="1" si="9"/>
        <v>5</v>
      </c>
      <c r="J106" s="52" t="s">
        <v>283</v>
      </c>
      <c r="K106" s="53">
        <v>46230</v>
      </c>
      <c r="L106" s="54">
        <v>2</v>
      </c>
    </row>
    <row r="107" spans="1:12" ht="15" x14ac:dyDescent="0.25">
      <c r="A107" s="39" t="s">
        <v>448</v>
      </c>
      <c r="B107" s="46" t="s">
        <v>271</v>
      </c>
      <c r="C107" s="39" t="s">
        <v>372</v>
      </c>
      <c r="D107" s="72">
        <v>106966222</v>
      </c>
      <c r="E107" s="73">
        <v>9198310129</v>
      </c>
      <c r="F107" s="39" t="s">
        <v>247</v>
      </c>
      <c r="G107" s="81">
        <v>39529</v>
      </c>
      <c r="H107" s="105" t="str">
        <f t="shared" si="8"/>
        <v>March</v>
      </c>
      <c r="I107" s="51">
        <f t="shared" ca="1" si="9"/>
        <v>8</v>
      </c>
      <c r="J107" s="52"/>
      <c r="K107" s="53">
        <v>35620</v>
      </c>
      <c r="L107" s="54">
        <v>4</v>
      </c>
    </row>
    <row r="108" spans="1:12" ht="15" x14ac:dyDescent="0.25">
      <c r="A108" s="39" t="s">
        <v>591</v>
      </c>
      <c r="B108" s="46" t="s">
        <v>280</v>
      </c>
      <c r="C108" s="39" t="s">
        <v>372</v>
      </c>
      <c r="D108" s="72">
        <v>676831149</v>
      </c>
      <c r="E108" s="73">
        <v>9192824485</v>
      </c>
      <c r="F108" s="39" t="s">
        <v>256</v>
      </c>
      <c r="G108" s="81">
        <v>39388</v>
      </c>
      <c r="H108" s="105" t="str">
        <f t="shared" si="8"/>
        <v>November</v>
      </c>
      <c r="I108" s="51">
        <f t="shared" ca="1" si="9"/>
        <v>9</v>
      </c>
      <c r="J108" s="52" t="s">
        <v>257</v>
      </c>
      <c r="K108" s="53">
        <v>71120</v>
      </c>
      <c r="L108" s="54">
        <v>4</v>
      </c>
    </row>
    <row r="109" spans="1:12" ht="15" x14ac:dyDescent="0.25">
      <c r="A109" s="39" t="s">
        <v>932</v>
      </c>
      <c r="B109" s="46" t="s">
        <v>285</v>
      </c>
      <c r="C109" s="39" t="s">
        <v>372</v>
      </c>
      <c r="D109" s="72">
        <v>495042805</v>
      </c>
      <c r="E109" s="73">
        <v>9197146686</v>
      </c>
      <c r="F109" s="39" t="s">
        <v>247</v>
      </c>
      <c r="G109" s="103">
        <v>40253</v>
      </c>
      <c r="H109" s="105" t="str">
        <f t="shared" si="8"/>
        <v>March</v>
      </c>
      <c r="I109" s="51">
        <f t="shared" ca="1" si="9"/>
        <v>6</v>
      </c>
      <c r="J109" s="52"/>
      <c r="K109" s="53">
        <v>59350</v>
      </c>
      <c r="L109" s="54">
        <v>5</v>
      </c>
    </row>
    <row r="110" spans="1:12" ht="15" x14ac:dyDescent="0.25">
      <c r="A110" s="39"/>
      <c r="B110" s="46"/>
      <c r="C110" s="111"/>
      <c r="D110" s="72"/>
      <c r="E110" s="73"/>
      <c r="F110" s="39"/>
      <c r="G110" s="103"/>
      <c r="H110" s="105"/>
      <c r="I110" s="51"/>
      <c r="J110" s="52"/>
      <c r="K110" s="53"/>
      <c r="L110" s="54"/>
    </row>
    <row r="111" spans="1:12" ht="15" x14ac:dyDescent="0.25">
      <c r="A111" s="39" t="s">
        <v>625</v>
      </c>
      <c r="B111" s="46" t="s">
        <v>271</v>
      </c>
      <c r="C111" s="39" t="s">
        <v>381</v>
      </c>
      <c r="D111" s="72">
        <v>324622113</v>
      </c>
      <c r="E111" s="73">
        <v>9198824849</v>
      </c>
      <c r="F111" s="39" t="s">
        <v>261</v>
      </c>
      <c r="G111" s="103">
        <v>40516</v>
      </c>
      <c r="H111" s="105" t="str">
        <f t="shared" ref="H111:H119" si="10">CHOOSE(MONTH(G111),"January","February","March","April","May","June","July","August","September","October","November","December")</f>
        <v>December</v>
      </c>
      <c r="I111" s="51">
        <f t="shared" ref="I111:I119" ca="1" si="11">DATEDIF(G111,TODAY(),"Y")</f>
        <v>5</v>
      </c>
      <c r="J111" s="52" t="s">
        <v>283</v>
      </c>
      <c r="K111" s="53">
        <v>28625</v>
      </c>
      <c r="L111" s="54">
        <v>1</v>
      </c>
    </row>
    <row r="112" spans="1:12" ht="15" x14ac:dyDescent="0.25">
      <c r="A112" s="39" t="s">
        <v>504</v>
      </c>
      <c r="B112" s="46" t="s">
        <v>271</v>
      </c>
      <c r="C112" s="39" t="s">
        <v>381</v>
      </c>
      <c r="D112" s="72">
        <v>925049144</v>
      </c>
      <c r="E112" s="73">
        <v>2524752921</v>
      </c>
      <c r="F112" s="39" t="s">
        <v>256</v>
      </c>
      <c r="G112" s="81">
        <v>36249</v>
      </c>
      <c r="H112" s="105" t="str">
        <f t="shared" si="10"/>
        <v>March</v>
      </c>
      <c r="I112" s="51">
        <f t="shared" ca="1" si="11"/>
        <v>17</v>
      </c>
      <c r="J112" s="52" t="s">
        <v>257</v>
      </c>
      <c r="K112" s="53">
        <v>49860</v>
      </c>
      <c r="L112" s="54">
        <v>2</v>
      </c>
    </row>
    <row r="113" spans="1:12" ht="15" x14ac:dyDescent="0.25">
      <c r="A113" s="39" t="s">
        <v>650</v>
      </c>
      <c r="B113" s="46" t="s">
        <v>285</v>
      </c>
      <c r="C113" s="39" t="s">
        <v>381</v>
      </c>
      <c r="D113" s="72">
        <v>405297884</v>
      </c>
      <c r="E113" s="73">
        <v>2524747044</v>
      </c>
      <c r="F113" s="39" t="s">
        <v>256</v>
      </c>
      <c r="G113" s="81">
        <v>33071</v>
      </c>
      <c r="H113" s="105" t="str">
        <f t="shared" si="10"/>
        <v>July</v>
      </c>
      <c r="I113" s="51">
        <f t="shared" ca="1" si="11"/>
        <v>26</v>
      </c>
      <c r="J113" s="52" t="s">
        <v>283</v>
      </c>
      <c r="K113" s="53">
        <v>69060</v>
      </c>
      <c r="L113" s="54">
        <v>1</v>
      </c>
    </row>
    <row r="114" spans="1:12" ht="15" x14ac:dyDescent="0.25">
      <c r="A114" s="39" t="s">
        <v>436</v>
      </c>
      <c r="B114" s="46" t="s">
        <v>280</v>
      </c>
      <c r="C114" s="39" t="s">
        <v>381</v>
      </c>
      <c r="D114" s="72">
        <v>313651312</v>
      </c>
      <c r="E114" s="73">
        <v>2526092172</v>
      </c>
      <c r="F114" s="39" t="s">
        <v>256</v>
      </c>
      <c r="G114" s="81">
        <v>36182</v>
      </c>
      <c r="H114" s="105" t="str">
        <f t="shared" si="10"/>
        <v>January</v>
      </c>
      <c r="I114" s="51">
        <f t="shared" ca="1" si="11"/>
        <v>17</v>
      </c>
      <c r="J114" s="52" t="s">
        <v>283</v>
      </c>
      <c r="K114" s="53">
        <v>68300</v>
      </c>
      <c r="L114" s="54">
        <v>5</v>
      </c>
    </row>
    <row r="115" spans="1:12" ht="15" x14ac:dyDescent="0.25">
      <c r="A115" s="39" t="s">
        <v>924</v>
      </c>
      <c r="B115" s="46" t="s">
        <v>266</v>
      </c>
      <c r="C115" s="39" t="s">
        <v>381</v>
      </c>
      <c r="D115" s="72">
        <v>452692136</v>
      </c>
      <c r="E115" s="73">
        <v>2524106437</v>
      </c>
      <c r="F115" s="39" t="s">
        <v>256</v>
      </c>
      <c r="G115" s="81">
        <v>35514</v>
      </c>
      <c r="H115" s="105" t="str">
        <f t="shared" si="10"/>
        <v>March</v>
      </c>
      <c r="I115" s="51">
        <f t="shared" ca="1" si="11"/>
        <v>19</v>
      </c>
      <c r="J115" s="52" t="s">
        <v>267</v>
      </c>
      <c r="K115" s="53">
        <v>26510</v>
      </c>
      <c r="L115" s="54">
        <v>1</v>
      </c>
    </row>
    <row r="116" spans="1:12" ht="15" x14ac:dyDescent="0.25">
      <c r="A116" s="39" t="s">
        <v>572</v>
      </c>
      <c r="B116" s="46" t="s">
        <v>285</v>
      </c>
      <c r="C116" s="39" t="s">
        <v>381</v>
      </c>
      <c r="D116" s="72">
        <v>510190628</v>
      </c>
      <c r="E116" s="73">
        <v>2527405629</v>
      </c>
      <c r="F116" s="39" t="s">
        <v>256</v>
      </c>
      <c r="G116" s="81">
        <v>39147</v>
      </c>
      <c r="H116" s="105" t="str">
        <f t="shared" si="10"/>
        <v>March</v>
      </c>
      <c r="I116" s="51">
        <f t="shared" ca="1" si="11"/>
        <v>9</v>
      </c>
      <c r="J116" s="52" t="s">
        <v>283</v>
      </c>
      <c r="K116" s="53">
        <v>43680</v>
      </c>
      <c r="L116" s="54">
        <v>5</v>
      </c>
    </row>
    <row r="117" spans="1:12" ht="15" x14ac:dyDescent="0.25">
      <c r="A117" s="39" t="s">
        <v>808</v>
      </c>
      <c r="B117" s="46" t="s">
        <v>271</v>
      </c>
      <c r="C117" s="39" t="s">
        <v>381</v>
      </c>
      <c r="D117" s="72">
        <v>943671719</v>
      </c>
      <c r="E117" s="73">
        <v>9193517837</v>
      </c>
      <c r="F117" s="39" t="s">
        <v>256</v>
      </c>
      <c r="G117" s="81">
        <v>35449</v>
      </c>
      <c r="H117" s="105" t="str">
        <f t="shared" si="10"/>
        <v>January</v>
      </c>
      <c r="I117" s="51">
        <f t="shared" ca="1" si="11"/>
        <v>19</v>
      </c>
      <c r="J117" s="52" t="s">
        <v>283</v>
      </c>
      <c r="K117" s="53">
        <v>22920</v>
      </c>
      <c r="L117" s="54">
        <v>3</v>
      </c>
    </row>
    <row r="118" spans="1:12" ht="15" x14ac:dyDescent="0.25">
      <c r="A118" s="39" t="s">
        <v>370</v>
      </c>
      <c r="B118" s="46" t="s">
        <v>271</v>
      </c>
      <c r="C118" s="39" t="s">
        <v>381</v>
      </c>
      <c r="D118" s="72">
        <v>651995963</v>
      </c>
      <c r="E118" s="73">
        <v>9194944945</v>
      </c>
      <c r="F118" s="39" t="s">
        <v>252</v>
      </c>
      <c r="G118" s="103">
        <v>40313</v>
      </c>
      <c r="H118" s="105" t="str">
        <f t="shared" si="10"/>
        <v>May</v>
      </c>
      <c r="I118" s="51">
        <f t="shared" ca="1" si="11"/>
        <v>6</v>
      </c>
      <c r="J118" s="52"/>
      <c r="K118" s="53">
        <v>27484</v>
      </c>
      <c r="L118" s="54">
        <v>4</v>
      </c>
    </row>
    <row r="119" spans="1:12" ht="15" x14ac:dyDescent="0.25">
      <c r="A119" s="39" t="s">
        <v>927</v>
      </c>
      <c r="B119" s="46" t="s">
        <v>285</v>
      </c>
      <c r="C119" s="39" t="s">
        <v>381</v>
      </c>
      <c r="D119" s="72">
        <v>124203063</v>
      </c>
      <c r="E119" s="73">
        <v>9192229885</v>
      </c>
      <c r="F119" s="39" t="s">
        <v>261</v>
      </c>
      <c r="G119" s="81">
        <v>40572</v>
      </c>
      <c r="H119" s="105" t="str">
        <f t="shared" si="10"/>
        <v>January</v>
      </c>
      <c r="I119" s="51">
        <f t="shared" ca="1" si="11"/>
        <v>5</v>
      </c>
      <c r="J119" s="52" t="s">
        <v>283</v>
      </c>
      <c r="K119" s="53">
        <v>10520</v>
      </c>
      <c r="L119" s="54">
        <v>4</v>
      </c>
    </row>
    <row r="120" spans="1:12" ht="15" x14ac:dyDescent="0.25">
      <c r="A120" s="39"/>
      <c r="B120" s="46"/>
      <c r="C120" s="111"/>
      <c r="D120" s="72"/>
      <c r="E120" s="73"/>
      <c r="F120" s="39"/>
      <c r="G120" s="81"/>
      <c r="H120" s="105"/>
      <c r="I120" s="51"/>
      <c r="J120" s="52"/>
      <c r="K120" s="53"/>
      <c r="L120" s="54"/>
    </row>
    <row r="121" spans="1:12" ht="15" x14ac:dyDescent="0.25">
      <c r="A121" s="39" t="s">
        <v>314</v>
      </c>
      <c r="B121" s="46" t="s">
        <v>266</v>
      </c>
      <c r="C121" s="39" t="s">
        <v>391</v>
      </c>
      <c r="D121" s="72">
        <v>707882019</v>
      </c>
      <c r="E121" s="73">
        <v>2523373445</v>
      </c>
      <c r="F121" s="39" t="s">
        <v>247</v>
      </c>
      <c r="G121" s="81">
        <v>36342</v>
      </c>
      <c r="H121" s="105" t="str">
        <f t="shared" ref="H121:H139" si="12">CHOOSE(MONTH(G121),"January","February","March","April","May","June","July","August","September","October","November","December")</f>
        <v>July</v>
      </c>
      <c r="I121" s="51">
        <f t="shared" ref="I121:I139" ca="1" si="13">DATEDIF(G121,TODAY(),"Y")</f>
        <v>17</v>
      </c>
      <c r="J121" s="52"/>
      <c r="K121" s="53">
        <v>86970</v>
      </c>
      <c r="L121" s="54">
        <v>4</v>
      </c>
    </row>
    <row r="122" spans="1:12" ht="15" x14ac:dyDescent="0.25">
      <c r="A122" s="39" t="s">
        <v>344</v>
      </c>
      <c r="B122" s="46" t="s">
        <v>245</v>
      </c>
      <c r="C122" s="39" t="s">
        <v>391</v>
      </c>
      <c r="D122" s="72">
        <v>719937584</v>
      </c>
      <c r="E122" s="73">
        <v>9191653055</v>
      </c>
      <c r="F122" s="39" t="s">
        <v>256</v>
      </c>
      <c r="G122" s="81">
        <v>33447</v>
      </c>
      <c r="H122" s="105" t="str">
        <f t="shared" si="12"/>
        <v>July</v>
      </c>
      <c r="I122" s="51">
        <f t="shared" ca="1" si="13"/>
        <v>25</v>
      </c>
      <c r="J122" s="52" t="s">
        <v>283</v>
      </c>
      <c r="K122" s="53">
        <v>37620</v>
      </c>
      <c r="L122" s="54">
        <v>5</v>
      </c>
    </row>
    <row r="123" spans="1:12" ht="15" x14ac:dyDescent="0.25">
      <c r="A123" s="39" t="s">
        <v>936</v>
      </c>
      <c r="B123" s="46" t="s">
        <v>271</v>
      </c>
      <c r="C123" s="39" t="s">
        <v>391</v>
      </c>
      <c r="D123" s="72">
        <v>907491320</v>
      </c>
      <c r="E123" s="73">
        <v>2525724528</v>
      </c>
      <c r="F123" s="39" t="s">
        <v>261</v>
      </c>
      <c r="G123" s="81">
        <v>36357</v>
      </c>
      <c r="H123" s="105" t="str">
        <f t="shared" si="12"/>
        <v>July</v>
      </c>
      <c r="I123" s="51">
        <f t="shared" ca="1" si="13"/>
        <v>17</v>
      </c>
      <c r="J123" s="52" t="s">
        <v>276</v>
      </c>
      <c r="K123" s="53">
        <v>42905</v>
      </c>
      <c r="L123" s="54">
        <v>1</v>
      </c>
    </row>
    <row r="124" spans="1:12" ht="15" x14ac:dyDescent="0.25">
      <c r="A124" s="39" t="s">
        <v>895</v>
      </c>
      <c r="B124" s="46" t="s">
        <v>285</v>
      </c>
      <c r="C124" s="39" t="s">
        <v>391</v>
      </c>
      <c r="D124" s="72">
        <v>685953695</v>
      </c>
      <c r="E124" s="73">
        <v>9196756847</v>
      </c>
      <c r="F124" s="39" t="s">
        <v>256</v>
      </c>
      <c r="G124" s="81">
        <v>33823</v>
      </c>
      <c r="H124" s="105" t="str">
        <f t="shared" si="12"/>
        <v>August</v>
      </c>
      <c r="I124" s="51">
        <f t="shared" ca="1" si="13"/>
        <v>24</v>
      </c>
      <c r="J124" s="52" t="s">
        <v>283</v>
      </c>
      <c r="K124" s="53">
        <v>82760</v>
      </c>
      <c r="L124" s="54">
        <v>4</v>
      </c>
    </row>
    <row r="125" spans="1:12" ht="15" x14ac:dyDescent="0.25">
      <c r="A125" s="39" t="s">
        <v>579</v>
      </c>
      <c r="B125" s="46" t="s">
        <v>271</v>
      </c>
      <c r="C125" s="39" t="s">
        <v>391</v>
      </c>
      <c r="D125" s="72">
        <v>690374765</v>
      </c>
      <c r="E125" s="73">
        <v>2525786813</v>
      </c>
      <c r="F125" s="39" t="s">
        <v>256</v>
      </c>
      <c r="G125" s="81">
        <v>33613</v>
      </c>
      <c r="H125" s="105" t="str">
        <f t="shared" si="12"/>
        <v>January</v>
      </c>
      <c r="I125" s="51">
        <f t="shared" ca="1" si="13"/>
        <v>24</v>
      </c>
      <c r="J125" s="52" t="s">
        <v>267</v>
      </c>
      <c r="K125" s="53">
        <v>82500</v>
      </c>
      <c r="L125" s="54">
        <v>5</v>
      </c>
    </row>
    <row r="126" spans="1:12" ht="15" x14ac:dyDescent="0.25">
      <c r="A126" s="39" t="s">
        <v>805</v>
      </c>
      <c r="B126" s="46" t="s">
        <v>266</v>
      </c>
      <c r="C126" s="39" t="s">
        <v>391</v>
      </c>
      <c r="D126" s="72">
        <v>291798311</v>
      </c>
      <c r="E126" s="73">
        <v>2526742736</v>
      </c>
      <c r="F126" s="39" t="s">
        <v>256</v>
      </c>
      <c r="G126" s="81">
        <v>35487</v>
      </c>
      <c r="H126" s="105" t="str">
        <f t="shared" si="12"/>
        <v>February</v>
      </c>
      <c r="I126" s="51">
        <f t="shared" ca="1" si="13"/>
        <v>19</v>
      </c>
      <c r="J126" s="52" t="s">
        <v>257</v>
      </c>
      <c r="K126" s="53">
        <v>80120</v>
      </c>
      <c r="L126" s="54">
        <v>4</v>
      </c>
    </row>
    <row r="127" spans="1:12" ht="15" x14ac:dyDescent="0.25">
      <c r="A127" s="39" t="s">
        <v>975</v>
      </c>
      <c r="B127" s="46" t="s">
        <v>251</v>
      </c>
      <c r="C127" s="39" t="s">
        <v>391</v>
      </c>
      <c r="D127" s="72">
        <v>938508346</v>
      </c>
      <c r="E127" s="78">
        <v>2526738901</v>
      </c>
      <c r="F127" s="39" t="s">
        <v>247</v>
      </c>
      <c r="G127" s="81">
        <v>33245</v>
      </c>
      <c r="H127" s="105" t="str">
        <f t="shared" si="12"/>
        <v>January</v>
      </c>
      <c r="I127" s="51">
        <f t="shared" ca="1" si="13"/>
        <v>25</v>
      </c>
      <c r="J127" s="52"/>
      <c r="K127" s="53">
        <v>80050</v>
      </c>
      <c r="L127" s="54">
        <v>2</v>
      </c>
    </row>
    <row r="128" spans="1:12" ht="15" x14ac:dyDescent="0.25">
      <c r="A128" s="39" t="s">
        <v>484</v>
      </c>
      <c r="B128" s="46" t="s">
        <v>271</v>
      </c>
      <c r="C128" s="39" t="s">
        <v>391</v>
      </c>
      <c r="D128" s="72">
        <v>863161920</v>
      </c>
      <c r="E128" s="73">
        <v>2523748373</v>
      </c>
      <c r="F128" s="39" t="s">
        <v>256</v>
      </c>
      <c r="G128" s="81">
        <v>36077</v>
      </c>
      <c r="H128" s="105" t="str">
        <f t="shared" si="12"/>
        <v>October</v>
      </c>
      <c r="I128" s="51">
        <f t="shared" ca="1" si="13"/>
        <v>18</v>
      </c>
      <c r="J128" s="52" t="s">
        <v>283</v>
      </c>
      <c r="K128" s="53">
        <v>50110</v>
      </c>
      <c r="L128" s="54">
        <v>1</v>
      </c>
    </row>
    <row r="129" spans="1:12" ht="15" x14ac:dyDescent="0.25">
      <c r="A129" s="39" t="s">
        <v>458</v>
      </c>
      <c r="B129" s="46" t="s">
        <v>285</v>
      </c>
      <c r="C129" s="39" t="s">
        <v>391</v>
      </c>
      <c r="D129" s="72">
        <v>195245117</v>
      </c>
      <c r="E129" s="73">
        <v>9193451072</v>
      </c>
      <c r="F129" s="39" t="s">
        <v>252</v>
      </c>
      <c r="G129" s="81">
        <v>35673</v>
      </c>
      <c r="H129" s="105" t="str">
        <f t="shared" si="12"/>
        <v>August</v>
      </c>
      <c r="I129" s="51">
        <f t="shared" ca="1" si="13"/>
        <v>19</v>
      </c>
      <c r="J129" s="52"/>
      <c r="K129" s="53">
        <v>12676</v>
      </c>
      <c r="L129" s="54">
        <v>2</v>
      </c>
    </row>
    <row r="130" spans="1:12" ht="15" x14ac:dyDescent="0.25">
      <c r="A130" s="39" t="s">
        <v>1002</v>
      </c>
      <c r="B130" s="46" t="s">
        <v>271</v>
      </c>
      <c r="C130" s="39" t="s">
        <v>391</v>
      </c>
      <c r="D130" s="72">
        <v>197789466</v>
      </c>
      <c r="E130" s="73">
        <v>9191472895</v>
      </c>
      <c r="F130" s="39" t="s">
        <v>247</v>
      </c>
      <c r="G130" s="81">
        <v>35737</v>
      </c>
      <c r="H130" s="105" t="str">
        <f t="shared" si="12"/>
        <v>November</v>
      </c>
      <c r="I130" s="51">
        <f t="shared" ca="1" si="13"/>
        <v>19</v>
      </c>
      <c r="J130" s="52"/>
      <c r="K130" s="53">
        <v>76020</v>
      </c>
      <c r="L130" s="54">
        <v>1</v>
      </c>
    </row>
    <row r="131" spans="1:12" ht="15" x14ac:dyDescent="0.25">
      <c r="A131" s="39" t="s">
        <v>871</v>
      </c>
      <c r="B131" s="46" t="s">
        <v>266</v>
      </c>
      <c r="C131" s="39" t="s">
        <v>391</v>
      </c>
      <c r="D131" s="72">
        <v>434927073</v>
      </c>
      <c r="E131" s="73">
        <v>2528440900</v>
      </c>
      <c r="F131" s="39" t="s">
        <v>256</v>
      </c>
      <c r="G131" s="81">
        <v>37612</v>
      </c>
      <c r="H131" s="105" t="str">
        <f t="shared" si="12"/>
        <v>December</v>
      </c>
      <c r="I131" s="51">
        <f t="shared" ca="1" si="13"/>
        <v>13</v>
      </c>
      <c r="J131" s="52" t="s">
        <v>267</v>
      </c>
      <c r="K131" s="53">
        <v>39740</v>
      </c>
      <c r="L131" s="54">
        <v>1</v>
      </c>
    </row>
    <row r="132" spans="1:12" ht="15" x14ac:dyDescent="0.25">
      <c r="A132" s="39" t="s">
        <v>375</v>
      </c>
      <c r="B132" s="46" t="s">
        <v>251</v>
      </c>
      <c r="C132" s="39" t="s">
        <v>391</v>
      </c>
      <c r="D132" s="72">
        <v>843875501</v>
      </c>
      <c r="E132" s="73">
        <v>2522715355</v>
      </c>
      <c r="F132" s="39" t="s">
        <v>247</v>
      </c>
      <c r="G132" s="81">
        <v>36176</v>
      </c>
      <c r="H132" s="105" t="str">
        <f t="shared" si="12"/>
        <v>January</v>
      </c>
      <c r="I132" s="51">
        <f t="shared" ca="1" si="13"/>
        <v>17</v>
      </c>
      <c r="J132" s="52"/>
      <c r="K132" s="53">
        <v>32940</v>
      </c>
      <c r="L132" s="54">
        <v>5</v>
      </c>
    </row>
    <row r="133" spans="1:12" ht="15" x14ac:dyDescent="0.25">
      <c r="A133" s="39" t="s">
        <v>539</v>
      </c>
      <c r="B133" s="46" t="s">
        <v>280</v>
      </c>
      <c r="C133" s="39" t="s">
        <v>391</v>
      </c>
      <c r="D133" s="72">
        <v>581823751</v>
      </c>
      <c r="E133" s="73">
        <v>2528577225</v>
      </c>
      <c r="F133" s="39" t="s">
        <v>247</v>
      </c>
      <c r="G133" s="81">
        <v>37667</v>
      </c>
      <c r="H133" s="105" t="str">
        <f t="shared" si="12"/>
        <v>February</v>
      </c>
      <c r="I133" s="51">
        <f t="shared" ca="1" si="13"/>
        <v>13</v>
      </c>
      <c r="J133" s="52"/>
      <c r="K133" s="53">
        <v>73390</v>
      </c>
      <c r="L133" s="54">
        <v>2</v>
      </c>
    </row>
    <row r="134" spans="1:12" ht="15" x14ac:dyDescent="0.25">
      <c r="A134" s="39" t="s">
        <v>569</v>
      </c>
      <c r="B134" s="46" t="s">
        <v>285</v>
      </c>
      <c r="C134" s="39" t="s">
        <v>391</v>
      </c>
      <c r="D134" s="72">
        <v>585815837</v>
      </c>
      <c r="E134" s="73">
        <v>9194983657</v>
      </c>
      <c r="F134" s="39" t="s">
        <v>261</v>
      </c>
      <c r="G134" s="81">
        <v>33994</v>
      </c>
      <c r="H134" s="105" t="str">
        <f t="shared" si="12"/>
        <v>January</v>
      </c>
      <c r="I134" s="51">
        <f t="shared" ca="1" si="13"/>
        <v>23</v>
      </c>
      <c r="J134" s="52" t="s">
        <v>276</v>
      </c>
      <c r="K134" s="53">
        <v>18655</v>
      </c>
      <c r="L134" s="54">
        <v>4</v>
      </c>
    </row>
    <row r="135" spans="1:12" ht="15" x14ac:dyDescent="0.25">
      <c r="A135" s="39" t="s">
        <v>816</v>
      </c>
      <c r="B135" s="46" t="s">
        <v>245</v>
      </c>
      <c r="C135" s="39" t="s">
        <v>391</v>
      </c>
      <c r="D135" s="72">
        <v>681596577</v>
      </c>
      <c r="E135" s="73">
        <v>9192387348</v>
      </c>
      <c r="F135" s="39" t="s">
        <v>247</v>
      </c>
      <c r="G135" s="81">
        <v>35150</v>
      </c>
      <c r="H135" s="105" t="str">
        <f t="shared" si="12"/>
        <v>March</v>
      </c>
      <c r="I135" s="51">
        <f t="shared" ca="1" si="13"/>
        <v>20</v>
      </c>
      <c r="J135" s="52"/>
      <c r="K135" s="53">
        <v>35260</v>
      </c>
      <c r="L135" s="54">
        <v>2</v>
      </c>
    </row>
    <row r="136" spans="1:12" ht="15" x14ac:dyDescent="0.25">
      <c r="A136" s="45" t="s">
        <v>244</v>
      </c>
      <c r="B136" s="46" t="s">
        <v>285</v>
      </c>
      <c r="C136" s="39" t="s">
        <v>391</v>
      </c>
      <c r="D136" s="72">
        <v>828996583</v>
      </c>
      <c r="E136" s="73">
        <v>2521282202</v>
      </c>
      <c r="F136" s="39" t="s">
        <v>252</v>
      </c>
      <c r="G136" s="81">
        <v>33183</v>
      </c>
      <c r="H136" s="105" t="str">
        <f t="shared" si="12"/>
        <v>November</v>
      </c>
      <c r="I136" s="51">
        <f t="shared" ca="1" si="13"/>
        <v>26</v>
      </c>
      <c r="J136" s="52"/>
      <c r="K136" s="53">
        <v>14712</v>
      </c>
      <c r="L136" s="54">
        <v>5</v>
      </c>
    </row>
    <row r="137" spans="1:12" ht="15" x14ac:dyDescent="0.25">
      <c r="A137" s="39" t="s">
        <v>324</v>
      </c>
      <c r="B137" s="46" t="s">
        <v>271</v>
      </c>
      <c r="C137" s="39" t="s">
        <v>391</v>
      </c>
      <c r="D137" s="72">
        <v>526188716</v>
      </c>
      <c r="E137" s="73">
        <v>2527230063</v>
      </c>
      <c r="F137" s="39" t="s">
        <v>247</v>
      </c>
      <c r="G137" s="81">
        <v>35959</v>
      </c>
      <c r="H137" s="105" t="str">
        <f t="shared" si="12"/>
        <v>June</v>
      </c>
      <c r="I137" s="51">
        <f t="shared" ca="1" si="13"/>
        <v>18</v>
      </c>
      <c r="J137" s="52"/>
      <c r="K137" s="53">
        <v>64470</v>
      </c>
      <c r="L137" s="54">
        <v>3</v>
      </c>
    </row>
    <row r="138" spans="1:12" ht="15" x14ac:dyDescent="0.25">
      <c r="A138" s="39" t="s">
        <v>819</v>
      </c>
      <c r="B138" s="46" t="s">
        <v>285</v>
      </c>
      <c r="C138" s="39" t="s">
        <v>391</v>
      </c>
      <c r="D138" s="72">
        <v>694800128</v>
      </c>
      <c r="E138" s="73">
        <v>9197111802</v>
      </c>
      <c r="F138" s="39" t="s">
        <v>256</v>
      </c>
      <c r="G138" s="81">
        <v>36269</v>
      </c>
      <c r="H138" s="105" t="str">
        <f t="shared" si="12"/>
        <v>April</v>
      </c>
      <c r="I138" s="51">
        <f t="shared" ca="1" si="13"/>
        <v>17</v>
      </c>
      <c r="J138" s="52" t="s">
        <v>283</v>
      </c>
      <c r="K138" s="53">
        <v>61330</v>
      </c>
      <c r="L138" s="54">
        <v>1</v>
      </c>
    </row>
    <row r="139" spans="1:12" ht="15" x14ac:dyDescent="0.25">
      <c r="A139" s="39" t="s">
        <v>378</v>
      </c>
      <c r="B139" s="46" t="s">
        <v>271</v>
      </c>
      <c r="C139" s="39" t="s">
        <v>391</v>
      </c>
      <c r="D139" s="72">
        <v>469591073</v>
      </c>
      <c r="E139" s="73">
        <v>2523327522</v>
      </c>
      <c r="F139" s="39" t="s">
        <v>256</v>
      </c>
      <c r="G139" s="81">
        <v>37113</v>
      </c>
      <c r="H139" s="105" t="str">
        <f t="shared" si="12"/>
        <v>August</v>
      </c>
      <c r="I139" s="51">
        <f t="shared" ca="1" si="13"/>
        <v>15</v>
      </c>
      <c r="J139" s="52" t="s">
        <v>267</v>
      </c>
      <c r="K139" s="53">
        <v>61150</v>
      </c>
      <c r="L139" s="54">
        <v>4</v>
      </c>
    </row>
    <row r="140" spans="1:12" ht="15" x14ac:dyDescent="0.25">
      <c r="A140" s="39"/>
      <c r="B140" s="46"/>
      <c r="C140" s="111"/>
      <c r="D140" s="72"/>
      <c r="E140" s="73"/>
      <c r="F140" s="39"/>
      <c r="G140" s="81"/>
      <c r="H140" s="105"/>
      <c r="I140" s="51"/>
      <c r="J140" s="52"/>
      <c r="K140" s="53"/>
      <c r="L140" s="54"/>
    </row>
    <row r="141" spans="1:12" ht="15" x14ac:dyDescent="0.25">
      <c r="A141" s="45" t="s">
        <v>1060</v>
      </c>
      <c r="B141" s="46" t="s">
        <v>285</v>
      </c>
      <c r="C141" s="39" t="s">
        <v>411</v>
      </c>
      <c r="D141" s="72">
        <v>850210766</v>
      </c>
      <c r="E141" s="73">
        <v>2527838614</v>
      </c>
      <c r="F141" s="39" t="s">
        <v>256</v>
      </c>
      <c r="G141" s="81">
        <v>38587</v>
      </c>
      <c r="H141" s="105" t="str">
        <f>CHOOSE(MONTH(G141),"January","February","March","April","May","June","July","August","September","October","November","December")</f>
        <v>August</v>
      </c>
      <c r="I141" s="51">
        <f ca="1">DATEDIF(G141,TODAY(),"Y")</f>
        <v>11</v>
      </c>
      <c r="J141" s="52" t="s">
        <v>257</v>
      </c>
      <c r="K141" s="53">
        <v>47350</v>
      </c>
      <c r="L141" s="54">
        <v>5</v>
      </c>
    </row>
    <row r="142" spans="1:12" ht="15" x14ac:dyDescent="0.25">
      <c r="A142" s="39" t="s">
        <v>474</v>
      </c>
      <c r="B142" s="46" t="s">
        <v>245</v>
      </c>
      <c r="C142" s="39" t="s">
        <v>411</v>
      </c>
      <c r="D142" s="72">
        <v>914041569</v>
      </c>
      <c r="E142" s="73">
        <v>9196082608</v>
      </c>
      <c r="F142" s="39" t="s">
        <v>256</v>
      </c>
      <c r="G142" s="103">
        <v>40400</v>
      </c>
      <c r="H142" s="105" t="str">
        <f>CHOOSE(MONTH(G142),"January","February","March","April","May","June","July","August","September","October","November","December")</f>
        <v>August</v>
      </c>
      <c r="I142" s="51">
        <f ca="1">DATEDIF(G142,TODAY(),"Y")</f>
        <v>6</v>
      </c>
      <c r="J142" s="52" t="s">
        <v>283</v>
      </c>
      <c r="K142" s="53">
        <v>79150</v>
      </c>
      <c r="L142" s="54">
        <v>2</v>
      </c>
    </row>
    <row r="143" spans="1:12" ht="15" x14ac:dyDescent="0.25">
      <c r="A143" s="39" t="s">
        <v>292</v>
      </c>
      <c r="B143" s="46" t="s">
        <v>245</v>
      </c>
      <c r="C143" s="39" t="s">
        <v>411</v>
      </c>
      <c r="D143" s="72">
        <v>885773638</v>
      </c>
      <c r="E143" s="73">
        <v>9196188082</v>
      </c>
      <c r="F143" s="39" t="s">
        <v>256</v>
      </c>
      <c r="G143" s="81">
        <v>36569</v>
      </c>
      <c r="H143" s="105" t="str">
        <f>CHOOSE(MONTH(G143),"January","February","March","April","May","June","July","August","September","October","November","December")</f>
        <v>February</v>
      </c>
      <c r="I143" s="51">
        <f ca="1">DATEDIF(G143,TODAY(),"Y")</f>
        <v>16</v>
      </c>
      <c r="J143" s="52" t="s">
        <v>283</v>
      </c>
      <c r="K143" s="53">
        <v>75060</v>
      </c>
      <c r="L143" s="54">
        <v>5</v>
      </c>
    </row>
    <row r="144" spans="1:12" ht="15" x14ac:dyDescent="0.25">
      <c r="A144" s="39" t="s">
        <v>394</v>
      </c>
      <c r="B144" s="46" t="s">
        <v>271</v>
      </c>
      <c r="C144" s="39" t="s">
        <v>411</v>
      </c>
      <c r="D144" s="72">
        <v>999789446</v>
      </c>
      <c r="E144" s="73">
        <v>2521696804</v>
      </c>
      <c r="F144" s="39" t="s">
        <v>256</v>
      </c>
      <c r="G144" s="81">
        <v>35329</v>
      </c>
      <c r="H144" s="105" t="str">
        <f>CHOOSE(MONTH(G144),"January","February","March","April","May","June","July","August","September","October","November","December")</f>
        <v>September</v>
      </c>
      <c r="I144" s="51">
        <f ca="1">DATEDIF(G144,TODAY(),"Y")</f>
        <v>20</v>
      </c>
      <c r="J144" s="52" t="s">
        <v>257</v>
      </c>
      <c r="K144" s="53">
        <v>66740</v>
      </c>
      <c r="L144" s="54">
        <v>2</v>
      </c>
    </row>
    <row r="145" spans="1:12" ht="15" x14ac:dyDescent="0.25">
      <c r="A145" s="39" t="s">
        <v>480</v>
      </c>
      <c r="B145" s="46" t="s">
        <v>285</v>
      </c>
      <c r="C145" s="39" t="s">
        <v>411</v>
      </c>
      <c r="D145" s="72">
        <v>699053064</v>
      </c>
      <c r="E145" s="73">
        <v>9191299076</v>
      </c>
      <c r="F145" s="39" t="s">
        <v>247</v>
      </c>
      <c r="G145" s="81">
        <v>38527</v>
      </c>
      <c r="H145" s="105" t="str">
        <f>CHOOSE(MONTH(G145),"January","February","March","April","May","June","July","August","September","October","November","December")</f>
        <v>June</v>
      </c>
      <c r="I145" s="51">
        <f ca="1">DATEDIF(G145,TODAY(),"Y")</f>
        <v>11</v>
      </c>
      <c r="J145" s="52"/>
      <c r="K145" s="53">
        <v>60060</v>
      </c>
      <c r="L145" s="54">
        <v>2</v>
      </c>
    </row>
    <row r="146" spans="1:12" ht="15" x14ac:dyDescent="0.25">
      <c r="A146" s="39"/>
      <c r="B146" s="46"/>
      <c r="C146" s="111"/>
      <c r="D146" s="72"/>
      <c r="E146" s="73"/>
      <c r="F146" s="39"/>
      <c r="G146" s="81"/>
      <c r="H146" s="105"/>
      <c r="I146" s="51"/>
      <c r="J146" s="52"/>
      <c r="K146" s="53"/>
      <c r="L146" s="54"/>
    </row>
    <row r="147" spans="1:12" ht="15" x14ac:dyDescent="0.25">
      <c r="A147" s="39" t="s">
        <v>349</v>
      </c>
      <c r="B147" s="46" t="s">
        <v>285</v>
      </c>
      <c r="C147" s="39" t="s">
        <v>417</v>
      </c>
      <c r="D147" s="72">
        <v>116869057</v>
      </c>
      <c r="E147" s="73">
        <v>2521614846</v>
      </c>
      <c r="F147" s="39" t="s">
        <v>261</v>
      </c>
      <c r="G147" s="81">
        <v>34755</v>
      </c>
      <c r="H147" s="105" t="str">
        <f t="shared" ref="H147:H184" si="14">CHOOSE(MONTH(G147),"January","February","March","April","May","June","July","August","September","October","November","December")</f>
        <v>February</v>
      </c>
      <c r="I147" s="51">
        <f t="shared" ref="I147:I184" ca="1" si="15">DATEDIF(G147,TODAY(),"Y")</f>
        <v>21</v>
      </c>
      <c r="J147" s="52" t="s">
        <v>267</v>
      </c>
      <c r="K147" s="53">
        <v>15005</v>
      </c>
      <c r="L147" s="54">
        <v>4</v>
      </c>
    </row>
    <row r="148" spans="1:12" ht="15" x14ac:dyDescent="0.25">
      <c r="A148" s="39" t="s">
        <v>677</v>
      </c>
      <c r="B148" s="46" t="s">
        <v>285</v>
      </c>
      <c r="C148" s="39" t="s">
        <v>417</v>
      </c>
      <c r="D148" s="72">
        <v>659929807</v>
      </c>
      <c r="E148" s="73">
        <v>9193089561</v>
      </c>
      <c r="F148" s="39" t="s">
        <v>256</v>
      </c>
      <c r="G148" s="81">
        <v>38753</v>
      </c>
      <c r="H148" s="105" t="str">
        <f t="shared" si="14"/>
        <v>February</v>
      </c>
      <c r="I148" s="51">
        <f t="shared" ca="1" si="15"/>
        <v>10</v>
      </c>
      <c r="J148" s="52" t="s">
        <v>257</v>
      </c>
      <c r="K148" s="53">
        <v>22410</v>
      </c>
      <c r="L148" s="54">
        <v>4</v>
      </c>
    </row>
    <row r="149" spans="1:12" ht="15" x14ac:dyDescent="0.25">
      <c r="A149" s="39" t="s">
        <v>397</v>
      </c>
      <c r="B149" s="46" t="s">
        <v>285</v>
      </c>
      <c r="C149" s="39" t="s">
        <v>417</v>
      </c>
      <c r="D149" s="72">
        <v>575648597</v>
      </c>
      <c r="E149" s="73">
        <v>9198865267</v>
      </c>
      <c r="F149" s="39" t="s">
        <v>247</v>
      </c>
      <c r="G149" s="81">
        <v>37641</v>
      </c>
      <c r="H149" s="105" t="str">
        <f t="shared" si="14"/>
        <v>January</v>
      </c>
      <c r="I149" s="51">
        <f t="shared" ca="1" si="15"/>
        <v>13</v>
      </c>
      <c r="J149" s="52"/>
      <c r="K149" s="53">
        <v>31970</v>
      </c>
      <c r="L149" s="54">
        <v>5</v>
      </c>
    </row>
    <row r="150" spans="1:12" ht="15" x14ac:dyDescent="0.25">
      <c r="A150" s="39" t="s">
        <v>840</v>
      </c>
      <c r="B150" s="46" t="s">
        <v>251</v>
      </c>
      <c r="C150" s="39" t="s">
        <v>417</v>
      </c>
      <c r="D150" s="72">
        <v>212136062</v>
      </c>
      <c r="E150" s="73">
        <v>9197226463</v>
      </c>
      <c r="F150" s="39" t="s">
        <v>256</v>
      </c>
      <c r="G150" s="81">
        <v>36082</v>
      </c>
      <c r="H150" s="105" t="str">
        <f t="shared" si="14"/>
        <v>October</v>
      </c>
      <c r="I150" s="51">
        <f t="shared" ca="1" si="15"/>
        <v>18</v>
      </c>
      <c r="J150" s="52" t="s">
        <v>283</v>
      </c>
      <c r="K150" s="53">
        <v>82400</v>
      </c>
      <c r="L150" s="54">
        <v>2</v>
      </c>
    </row>
    <row r="151" spans="1:12" ht="15" x14ac:dyDescent="0.25">
      <c r="A151" s="39" t="s">
        <v>472</v>
      </c>
      <c r="B151" s="46" t="s">
        <v>271</v>
      </c>
      <c r="C151" s="39" t="s">
        <v>417</v>
      </c>
      <c r="D151" s="72">
        <v>518690148</v>
      </c>
      <c r="E151" s="73">
        <v>2526500529</v>
      </c>
      <c r="F151" s="39" t="s">
        <v>256</v>
      </c>
      <c r="G151" s="81">
        <v>40399</v>
      </c>
      <c r="H151" s="105" t="str">
        <f t="shared" si="14"/>
        <v>August</v>
      </c>
      <c r="I151" s="51">
        <f t="shared" ca="1" si="15"/>
        <v>6</v>
      </c>
      <c r="J151" s="52" t="s">
        <v>267</v>
      </c>
      <c r="K151" s="53">
        <v>32640</v>
      </c>
      <c r="L151" s="54">
        <v>4</v>
      </c>
    </row>
    <row r="152" spans="1:12" ht="15" x14ac:dyDescent="0.25">
      <c r="A152" s="39" t="s">
        <v>828</v>
      </c>
      <c r="B152" s="46" t="s">
        <v>271</v>
      </c>
      <c r="C152" s="39" t="s">
        <v>417</v>
      </c>
      <c r="D152" s="72">
        <v>249760737</v>
      </c>
      <c r="E152" s="73">
        <v>2522969056</v>
      </c>
      <c r="F152" s="39" t="s">
        <v>247</v>
      </c>
      <c r="G152" s="81">
        <v>33949</v>
      </c>
      <c r="H152" s="105" t="str">
        <f t="shared" si="14"/>
        <v>December</v>
      </c>
      <c r="I152" s="51">
        <f t="shared" ca="1" si="15"/>
        <v>23</v>
      </c>
      <c r="J152" s="52"/>
      <c r="K152" s="53">
        <v>81070</v>
      </c>
      <c r="L152" s="54">
        <v>5</v>
      </c>
    </row>
    <row r="153" spans="1:12" ht="15" x14ac:dyDescent="0.25">
      <c r="A153" s="39" t="s">
        <v>923</v>
      </c>
      <c r="B153" s="46" t="s">
        <v>285</v>
      </c>
      <c r="C153" s="39" t="s">
        <v>417</v>
      </c>
      <c r="D153" s="72">
        <v>302598687</v>
      </c>
      <c r="E153" s="73">
        <v>9195394899</v>
      </c>
      <c r="F153" s="39" t="s">
        <v>256</v>
      </c>
      <c r="G153" s="81">
        <v>34086</v>
      </c>
      <c r="H153" s="105" t="str">
        <f t="shared" si="14"/>
        <v>April</v>
      </c>
      <c r="I153" s="51">
        <f t="shared" ca="1" si="15"/>
        <v>23</v>
      </c>
      <c r="J153" s="52" t="s">
        <v>257</v>
      </c>
      <c r="K153" s="53">
        <v>31840</v>
      </c>
      <c r="L153" s="54">
        <v>1</v>
      </c>
    </row>
    <row r="154" spans="1:12" ht="15" x14ac:dyDescent="0.25">
      <c r="A154" s="39" t="s">
        <v>661</v>
      </c>
      <c r="B154" s="46" t="s">
        <v>271</v>
      </c>
      <c r="C154" s="39" t="s">
        <v>417</v>
      </c>
      <c r="D154" s="72">
        <v>232896341</v>
      </c>
      <c r="E154" s="73">
        <v>9197288082</v>
      </c>
      <c r="F154" s="39" t="s">
        <v>247</v>
      </c>
      <c r="G154" s="103">
        <v>40236</v>
      </c>
      <c r="H154" s="105" t="str">
        <f t="shared" si="14"/>
        <v>February</v>
      </c>
      <c r="I154" s="51">
        <f t="shared" ca="1" si="15"/>
        <v>6</v>
      </c>
      <c r="J154" s="52"/>
      <c r="K154" s="53">
        <v>45830</v>
      </c>
      <c r="L154" s="54">
        <v>4</v>
      </c>
    </row>
    <row r="155" spans="1:12" ht="15" x14ac:dyDescent="0.25">
      <c r="A155" s="39" t="s">
        <v>900</v>
      </c>
      <c r="B155" s="46" t="s">
        <v>271</v>
      </c>
      <c r="C155" s="39" t="s">
        <v>417</v>
      </c>
      <c r="D155" s="72">
        <v>113699123</v>
      </c>
      <c r="E155" s="73">
        <v>2526563683</v>
      </c>
      <c r="F155" s="39" t="s">
        <v>256</v>
      </c>
      <c r="G155" s="81">
        <v>33117</v>
      </c>
      <c r="H155" s="105" t="str">
        <f t="shared" si="14"/>
        <v>September</v>
      </c>
      <c r="I155" s="51">
        <f t="shared" ca="1" si="15"/>
        <v>26</v>
      </c>
      <c r="J155" s="52" t="s">
        <v>267</v>
      </c>
      <c r="K155" s="53">
        <v>35360</v>
      </c>
      <c r="L155" s="54">
        <v>5</v>
      </c>
    </row>
    <row r="156" spans="1:12" ht="15" x14ac:dyDescent="0.25">
      <c r="A156" s="39" t="s">
        <v>533</v>
      </c>
      <c r="B156" s="46" t="s">
        <v>245</v>
      </c>
      <c r="C156" s="39" t="s">
        <v>417</v>
      </c>
      <c r="D156" s="72">
        <v>304068732</v>
      </c>
      <c r="E156" s="73">
        <v>2523919445</v>
      </c>
      <c r="F156" s="39" t="s">
        <v>261</v>
      </c>
      <c r="G156" s="81">
        <v>33709</v>
      </c>
      <c r="H156" s="105" t="str">
        <f t="shared" si="14"/>
        <v>April</v>
      </c>
      <c r="I156" s="51">
        <f t="shared" ca="1" si="15"/>
        <v>24</v>
      </c>
      <c r="J156" s="52" t="s">
        <v>257</v>
      </c>
      <c r="K156" s="53">
        <v>34110</v>
      </c>
      <c r="L156" s="54">
        <v>4</v>
      </c>
    </row>
    <row r="157" spans="1:12" ht="15" x14ac:dyDescent="0.25">
      <c r="A157" s="39" t="s">
        <v>321</v>
      </c>
      <c r="B157" s="46" t="s">
        <v>271</v>
      </c>
      <c r="C157" s="39" t="s">
        <v>417</v>
      </c>
      <c r="D157" s="72">
        <v>282972141</v>
      </c>
      <c r="E157" s="73">
        <v>2527135797</v>
      </c>
      <c r="F157" s="39" t="s">
        <v>247</v>
      </c>
      <c r="G157" s="81">
        <v>35939</v>
      </c>
      <c r="H157" s="105" t="str">
        <f t="shared" si="14"/>
        <v>May</v>
      </c>
      <c r="I157" s="51">
        <f t="shared" ca="1" si="15"/>
        <v>18</v>
      </c>
      <c r="J157" s="52"/>
      <c r="K157" s="53">
        <v>25120</v>
      </c>
      <c r="L157" s="54">
        <v>5</v>
      </c>
    </row>
    <row r="158" spans="1:12" ht="15" x14ac:dyDescent="0.25">
      <c r="A158" s="39" t="s">
        <v>908</v>
      </c>
      <c r="B158" s="46" t="s">
        <v>280</v>
      </c>
      <c r="C158" s="39" t="s">
        <v>417</v>
      </c>
      <c r="D158" s="72">
        <v>525507320</v>
      </c>
      <c r="E158" s="73">
        <v>2523938131</v>
      </c>
      <c r="F158" s="39" t="s">
        <v>256</v>
      </c>
      <c r="G158" s="81">
        <v>36414</v>
      </c>
      <c r="H158" s="105" t="str">
        <f t="shared" si="14"/>
        <v>September</v>
      </c>
      <c r="I158" s="51">
        <f t="shared" ca="1" si="15"/>
        <v>17</v>
      </c>
      <c r="J158" s="52" t="s">
        <v>276</v>
      </c>
      <c r="K158" s="53">
        <v>39680</v>
      </c>
      <c r="L158" s="54">
        <v>5</v>
      </c>
    </row>
    <row r="159" spans="1:12" ht="15" x14ac:dyDescent="0.25">
      <c r="A159" s="39" t="s">
        <v>439</v>
      </c>
      <c r="B159" s="46" t="s">
        <v>280</v>
      </c>
      <c r="C159" s="39" t="s">
        <v>417</v>
      </c>
      <c r="D159" s="72">
        <v>279591317</v>
      </c>
      <c r="E159" s="73">
        <v>2522381391</v>
      </c>
      <c r="F159" s="39" t="s">
        <v>252</v>
      </c>
      <c r="G159" s="81">
        <v>36263</v>
      </c>
      <c r="H159" s="105" t="str">
        <f t="shared" si="14"/>
        <v>April</v>
      </c>
      <c r="I159" s="51">
        <f t="shared" ca="1" si="15"/>
        <v>17</v>
      </c>
      <c r="J159" s="52"/>
      <c r="K159" s="53">
        <v>38768</v>
      </c>
      <c r="L159" s="54">
        <v>4</v>
      </c>
    </row>
    <row r="160" spans="1:12" ht="15" x14ac:dyDescent="0.25">
      <c r="A160" s="39" t="s">
        <v>831</v>
      </c>
      <c r="B160" s="46" t="s">
        <v>285</v>
      </c>
      <c r="C160" s="39" t="s">
        <v>417</v>
      </c>
      <c r="D160" s="72">
        <v>927043360</v>
      </c>
      <c r="E160" s="73">
        <v>2526053287</v>
      </c>
      <c r="F160" s="39" t="s">
        <v>247</v>
      </c>
      <c r="G160" s="81">
        <v>33424</v>
      </c>
      <c r="H160" s="105" t="str">
        <f t="shared" si="14"/>
        <v>July</v>
      </c>
      <c r="I160" s="51">
        <f t="shared" ca="1" si="15"/>
        <v>25</v>
      </c>
      <c r="J160" s="52"/>
      <c r="K160" s="53">
        <v>22320</v>
      </c>
      <c r="L160" s="54">
        <v>2</v>
      </c>
    </row>
    <row r="161" spans="1:12" ht="15" x14ac:dyDescent="0.25">
      <c r="A161" s="39" t="s">
        <v>602</v>
      </c>
      <c r="B161" s="46" t="s">
        <v>271</v>
      </c>
      <c r="C161" s="39" t="s">
        <v>417</v>
      </c>
      <c r="D161" s="72">
        <v>603301910</v>
      </c>
      <c r="E161" s="73">
        <v>9196514650</v>
      </c>
      <c r="F161" s="39" t="s">
        <v>256</v>
      </c>
      <c r="G161" s="81">
        <v>34213</v>
      </c>
      <c r="H161" s="105" t="str">
        <f t="shared" si="14"/>
        <v>September</v>
      </c>
      <c r="I161" s="51">
        <f t="shared" ca="1" si="15"/>
        <v>23</v>
      </c>
      <c r="J161" s="52" t="s">
        <v>257</v>
      </c>
      <c r="K161" s="53">
        <v>72900</v>
      </c>
      <c r="L161" s="54">
        <v>3</v>
      </c>
    </row>
    <row r="162" spans="1:12" ht="15" x14ac:dyDescent="0.25">
      <c r="A162" s="39" t="s">
        <v>659</v>
      </c>
      <c r="B162" s="46" t="s">
        <v>245</v>
      </c>
      <c r="C162" s="39" t="s">
        <v>417</v>
      </c>
      <c r="D162" s="72">
        <v>429283827</v>
      </c>
      <c r="E162" s="73">
        <v>9195508095</v>
      </c>
      <c r="F162" s="39" t="s">
        <v>256</v>
      </c>
      <c r="G162" s="81">
        <v>36643</v>
      </c>
      <c r="H162" s="105" t="str">
        <f t="shared" si="14"/>
        <v>April</v>
      </c>
      <c r="I162" s="51">
        <f t="shared" ca="1" si="15"/>
        <v>16</v>
      </c>
      <c r="J162" s="52" t="s">
        <v>283</v>
      </c>
      <c r="K162" s="53">
        <v>71380</v>
      </c>
      <c r="L162" s="54">
        <v>2</v>
      </c>
    </row>
    <row r="163" spans="1:12" ht="15" x14ac:dyDescent="0.25">
      <c r="A163" s="39" t="s">
        <v>679</v>
      </c>
      <c r="B163" s="46" t="s">
        <v>251</v>
      </c>
      <c r="C163" s="39" t="s">
        <v>417</v>
      </c>
      <c r="D163" s="72">
        <v>105708355</v>
      </c>
      <c r="E163" s="73">
        <v>2524697218</v>
      </c>
      <c r="F163" s="39" t="s">
        <v>256</v>
      </c>
      <c r="G163" s="81">
        <v>35989</v>
      </c>
      <c r="H163" s="105" t="str">
        <f t="shared" si="14"/>
        <v>July</v>
      </c>
      <c r="I163" s="51">
        <f t="shared" ca="1" si="15"/>
        <v>18</v>
      </c>
      <c r="J163" s="52" t="s">
        <v>262</v>
      </c>
      <c r="K163" s="53">
        <v>71010</v>
      </c>
      <c r="L163" s="54">
        <v>5</v>
      </c>
    </row>
    <row r="164" spans="1:12" ht="15" x14ac:dyDescent="0.25">
      <c r="A164" s="39" t="s">
        <v>422</v>
      </c>
      <c r="B164" s="46" t="s">
        <v>271</v>
      </c>
      <c r="C164" s="39" t="s">
        <v>417</v>
      </c>
      <c r="D164" s="72">
        <v>625531462</v>
      </c>
      <c r="E164" s="73">
        <v>2527553017</v>
      </c>
      <c r="F164" s="39" t="s">
        <v>256</v>
      </c>
      <c r="G164" s="81">
        <v>37288</v>
      </c>
      <c r="H164" s="105" t="str">
        <f t="shared" si="14"/>
        <v>February</v>
      </c>
      <c r="I164" s="51">
        <f t="shared" ca="1" si="15"/>
        <v>14</v>
      </c>
      <c r="J164" s="52" t="s">
        <v>257</v>
      </c>
      <c r="K164" s="53">
        <v>42480</v>
      </c>
      <c r="L164" s="54">
        <v>3</v>
      </c>
    </row>
    <row r="165" spans="1:12" ht="15" x14ac:dyDescent="0.25">
      <c r="A165" s="39" t="s">
        <v>528</v>
      </c>
      <c r="B165" s="46" t="s">
        <v>285</v>
      </c>
      <c r="C165" s="39" t="s">
        <v>417</v>
      </c>
      <c r="D165" s="72">
        <v>541365827</v>
      </c>
      <c r="E165" s="73">
        <v>2525317859</v>
      </c>
      <c r="F165" s="39" t="s">
        <v>256</v>
      </c>
      <c r="G165" s="81">
        <v>38135</v>
      </c>
      <c r="H165" s="105" t="str">
        <f t="shared" si="14"/>
        <v>May</v>
      </c>
      <c r="I165" s="51">
        <f t="shared" ca="1" si="15"/>
        <v>12</v>
      </c>
      <c r="J165" s="52" t="s">
        <v>267</v>
      </c>
      <c r="K165" s="53">
        <v>65560</v>
      </c>
      <c r="L165" s="54">
        <v>1</v>
      </c>
    </row>
    <row r="166" spans="1:12" ht="15" x14ac:dyDescent="0.25">
      <c r="A166" s="39" t="s">
        <v>558</v>
      </c>
      <c r="B166" s="46" t="s">
        <v>285</v>
      </c>
      <c r="C166" s="39" t="s">
        <v>417</v>
      </c>
      <c r="D166" s="72">
        <v>425598783</v>
      </c>
      <c r="E166" s="73">
        <v>9191559081</v>
      </c>
      <c r="F166" s="39" t="s">
        <v>261</v>
      </c>
      <c r="G166" s="81">
        <v>35070</v>
      </c>
      <c r="H166" s="105" t="str">
        <f t="shared" si="14"/>
        <v>January</v>
      </c>
      <c r="I166" s="51">
        <f t="shared" ca="1" si="15"/>
        <v>20</v>
      </c>
      <c r="J166" s="52" t="s">
        <v>276</v>
      </c>
      <c r="K166" s="53">
        <v>21220</v>
      </c>
      <c r="L166" s="54">
        <v>3</v>
      </c>
    </row>
    <row r="167" spans="1:12" ht="15" x14ac:dyDescent="0.25">
      <c r="A167" s="39" t="s">
        <v>583</v>
      </c>
      <c r="B167" s="46" t="s">
        <v>280</v>
      </c>
      <c r="C167" s="39" t="s">
        <v>417</v>
      </c>
      <c r="D167" s="72">
        <v>291841866</v>
      </c>
      <c r="E167" s="73">
        <v>9191534053</v>
      </c>
      <c r="F167" s="39" t="s">
        <v>256</v>
      </c>
      <c r="G167" s="81">
        <v>33872</v>
      </c>
      <c r="H167" s="105" t="str">
        <f t="shared" si="14"/>
        <v>September</v>
      </c>
      <c r="I167" s="51">
        <f t="shared" ca="1" si="15"/>
        <v>24</v>
      </c>
      <c r="J167" s="52" t="s">
        <v>257</v>
      </c>
      <c r="K167" s="53">
        <v>64510</v>
      </c>
      <c r="L167" s="54">
        <v>3</v>
      </c>
    </row>
    <row r="168" spans="1:12" ht="15" x14ac:dyDescent="0.25">
      <c r="A168" s="45" t="s">
        <v>277</v>
      </c>
      <c r="B168" s="46" t="s">
        <v>285</v>
      </c>
      <c r="C168" s="39" t="s">
        <v>417</v>
      </c>
      <c r="D168" s="72">
        <v>659766304</v>
      </c>
      <c r="E168" s="73">
        <v>9195876028</v>
      </c>
      <c r="F168" s="39" t="s">
        <v>256</v>
      </c>
      <c r="G168" s="81">
        <v>35501</v>
      </c>
      <c r="H168" s="105" t="str">
        <f t="shared" si="14"/>
        <v>March</v>
      </c>
      <c r="I168" s="51">
        <f t="shared" ca="1" si="15"/>
        <v>19</v>
      </c>
      <c r="J168" s="52" t="s">
        <v>283</v>
      </c>
      <c r="K168" s="53">
        <v>37750</v>
      </c>
      <c r="L168" s="54">
        <v>5</v>
      </c>
    </row>
    <row r="169" spans="1:12" ht="15" x14ac:dyDescent="0.25">
      <c r="A169" s="39" t="s">
        <v>516</v>
      </c>
      <c r="B169" s="46" t="s">
        <v>245</v>
      </c>
      <c r="C169" s="39" t="s">
        <v>417</v>
      </c>
      <c r="D169" s="72">
        <v>932787692</v>
      </c>
      <c r="E169" s="73">
        <v>2522612740</v>
      </c>
      <c r="F169" s="39" t="s">
        <v>247</v>
      </c>
      <c r="G169" s="81">
        <v>34161</v>
      </c>
      <c r="H169" s="105" t="str">
        <f t="shared" si="14"/>
        <v>July</v>
      </c>
      <c r="I169" s="51">
        <f t="shared" ca="1" si="15"/>
        <v>23</v>
      </c>
      <c r="J169" s="52"/>
      <c r="K169" s="53">
        <v>64090</v>
      </c>
      <c r="L169" s="54">
        <v>2</v>
      </c>
    </row>
    <row r="170" spans="1:12" ht="15" x14ac:dyDescent="0.25">
      <c r="A170" s="39" t="s">
        <v>969</v>
      </c>
      <c r="B170" s="46" t="s">
        <v>285</v>
      </c>
      <c r="C170" s="39" t="s">
        <v>417</v>
      </c>
      <c r="D170" s="72">
        <v>110184347</v>
      </c>
      <c r="E170" s="73">
        <v>2526166452</v>
      </c>
      <c r="F170" s="39" t="s">
        <v>256</v>
      </c>
      <c r="G170" s="81">
        <v>35253</v>
      </c>
      <c r="H170" s="105" t="str">
        <f t="shared" si="14"/>
        <v>July</v>
      </c>
      <c r="I170" s="51">
        <f t="shared" ca="1" si="15"/>
        <v>20</v>
      </c>
      <c r="J170" s="52" t="s">
        <v>257</v>
      </c>
      <c r="K170" s="53">
        <v>63780</v>
      </c>
      <c r="L170" s="54">
        <v>5</v>
      </c>
    </row>
    <row r="171" spans="1:12" ht="15" x14ac:dyDescent="0.25">
      <c r="A171" s="39" t="s">
        <v>543</v>
      </c>
      <c r="B171" s="46" t="s">
        <v>285</v>
      </c>
      <c r="C171" s="39" t="s">
        <v>417</v>
      </c>
      <c r="D171" s="72">
        <v>393051351</v>
      </c>
      <c r="E171" s="73">
        <v>9197508998</v>
      </c>
      <c r="F171" s="39" t="s">
        <v>261</v>
      </c>
      <c r="G171" s="81">
        <v>35186</v>
      </c>
      <c r="H171" s="105" t="str">
        <f t="shared" si="14"/>
        <v>May</v>
      </c>
      <c r="I171" s="51">
        <f t="shared" ca="1" si="15"/>
        <v>20</v>
      </c>
      <c r="J171" s="52" t="s">
        <v>276</v>
      </c>
      <c r="K171" s="53">
        <v>32835</v>
      </c>
      <c r="L171" s="54">
        <v>2</v>
      </c>
    </row>
    <row r="172" spans="1:12" ht="15" x14ac:dyDescent="0.25">
      <c r="A172" s="39" t="s">
        <v>1027</v>
      </c>
      <c r="B172" s="46" t="s">
        <v>245</v>
      </c>
      <c r="C172" s="39" t="s">
        <v>417</v>
      </c>
      <c r="D172" s="72">
        <v>870601943</v>
      </c>
      <c r="E172" s="73">
        <v>9196097340</v>
      </c>
      <c r="F172" s="39" t="s">
        <v>247</v>
      </c>
      <c r="G172" s="81">
        <v>34761</v>
      </c>
      <c r="H172" s="105" t="str">
        <f t="shared" si="14"/>
        <v>March</v>
      </c>
      <c r="I172" s="51">
        <f t="shared" ca="1" si="15"/>
        <v>21</v>
      </c>
      <c r="J172" s="52"/>
      <c r="K172" s="53">
        <v>45040</v>
      </c>
      <c r="L172" s="54">
        <v>5</v>
      </c>
    </row>
    <row r="173" spans="1:12" ht="15" x14ac:dyDescent="0.25">
      <c r="A173" s="39" t="s">
        <v>784</v>
      </c>
      <c r="B173" s="46" t="s">
        <v>266</v>
      </c>
      <c r="C173" s="39" t="s">
        <v>417</v>
      </c>
      <c r="D173" s="72">
        <v>956291859</v>
      </c>
      <c r="E173" s="73">
        <v>2521156902</v>
      </c>
      <c r="F173" s="39" t="s">
        <v>247</v>
      </c>
      <c r="G173" s="81">
        <v>40259</v>
      </c>
      <c r="H173" s="105" t="str">
        <f t="shared" si="14"/>
        <v>March</v>
      </c>
      <c r="I173" s="51">
        <f t="shared" ca="1" si="15"/>
        <v>6</v>
      </c>
      <c r="J173" s="52"/>
      <c r="K173" s="53">
        <v>45710</v>
      </c>
      <c r="L173" s="54">
        <v>3</v>
      </c>
    </row>
    <row r="174" spans="1:12" ht="15" x14ac:dyDescent="0.25">
      <c r="A174" s="39" t="s">
        <v>822</v>
      </c>
      <c r="B174" s="46" t="s">
        <v>271</v>
      </c>
      <c r="C174" s="39" t="s">
        <v>417</v>
      </c>
      <c r="D174" s="72">
        <v>736688620</v>
      </c>
      <c r="E174" s="73">
        <v>2524562999</v>
      </c>
      <c r="F174" s="39" t="s">
        <v>261</v>
      </c>
      <c r="G174" s="81">
        <v>39768</v>
      </c>
      <c r="H174" s="105" t="str">
        <f t="shared" si="14"/>
        <v>November</v>
      </c>
      <c r="I174" s="51">
        <f t="shared" ca="1" si="15"/>
        <v>8</v>
      </c>
      <c r="J174" s="52" t="s">
        <v>257</v>
      </c>
      <c r="K174" s="53">
        <v>39515</v>
      </c>
      <c r="L174" s="54">
        <v>5</v>
      </c>
    </row>
    <row r="175" spans="1:12" ht="15" x14ac:dyDescent="0.25">
      <c r="A175" s="39" t="s">
        <v>498</v>
      </c>
      <c r="B175" s="46" t="s">
        <v>271</v>
      </c>
      <c r="C175" s="39" t="s">
        <v>417</v>
      </c>
      <c r="D175" s="72">
        <v>503349830</v>
      </c>
      <c r="E175" s="73">
        <v>9191999230</v>
      </c>
      <c r="F175" s="39" t="s">
        <v>256</v>
      </c>
      <c r="G175" s="81">
        <v>33405</v>
      </c>
      <c r="H175" s="105" t="str">
        <f t="shared" si="14"/>
        <v>June</v>
      </c>
      <c r="I175" s="51">
        <f t="shared" ca="1" si="15"/>
        <v>25</v>
      </c>
      <c r="J175" s="52" t="s">
        <v>283</v>
      </c>
      <c r="K175" s="53">
        <v>32140</v>
      </c>
      <c r="L175" s="54">
        <v>2</v>
      </c>
    </row>
    <row r="176" spans="1:12" ht="15" x14ac:dyDescent="0.25">
      <c r="A176" s="39" t="s">
        <v>363</v>
      </c>
      <c r="B176" s="46" t="s">
        <v>280</v>
      </c>
      <c r="C176" s="39" t="s">
        <v>417</v>
      </c>
      <c r="D176" s="72">
        <v>171868795</v>
      </c>
      <c r="E176" s="73">
        <v>9194323329</v>
      </c>
      <c r="F176" s="39" t="s">
        <v>256</v>
      </c>
      <c r="G176" s="81">
        <v>33079</v>
      </c>
      <c r="H176" s="105" t="str">
        <f t="shared" si="14"/>
        <v>July</v>
      </c>
      <c r="I176" s="51">
        <f t="shared" ca="1" si="15"/>
        <v>26</v>
      </c>
      <c r="J176" s="52" t="s">
        <v>276</v>
      </c>
      <c r="K176" s="53">
        <v>32360</v>
      </c>
      <c r="L176" s="54">
        <v>4</v>
      </c>
    </row>
    <row r="177" spans="1:12" ht="15" x14ac:dyDescent="0.25">
      <c r="A177" s="39" t="s">
        <v>753</v>
      </c>
      <c r="B177" s="46" t="s">
        <v>271</v>
      </c>
      <c r="C177" s="39" t="s">
        <v>417</v>
      </c>
      <c r="D177" s="72">
        <v>707553376</v>
      </c>
      <c r="E177" s="73">
        <v>9194194193</v>
      </c>
      <c r="F177" s="39" t="s">
        <v>256</v>
      </c>
      <c r="G177" s="81">
        <v>35084</v>
      </c>
      <c r="H177" s="105" t="str">
        <f t="shared" si="14"/>
        <v>January</v>
      </c>
      <c r="I177" s="51">
        <f t="shared" ca="1" si="15"/>
        <v>20</v>
      </c>
      <c r="J177" s="52" t="s">
        <v>276</v>
      </c>
      <c r="K177" s="53">
        <v>49260</v>
      </c>
      <c r="L177" s="54">
        <v>3</v>
      </c>
    </row>
    <row r="178" spans="1:12" ht="15" x14ac:dyDescent="0.25">
      <c r="A178" s="45" t="s">
        <v>265</v>
      </c>
      <c r="B178" s="46" t="s">
        <v>271</v>
      </c>
      <c r="C178" s="39" t="s">
        <v>417</v>
      </c>
      <c r="D178" s="72">
        <v>622274162</v>
      </c>
      <c r="E178" s="73">
        <v>9191264786</v>
      </c>
      <c r="F178" s="39" t="s">
        <v>247</v>
      </c>
      <c r="G178" s="81">
        <v>34771</v>
      </c>
      <c r="H178" s="105" t="str">
        <f t="shared" si="14"/>
        <v>March</v>
      </c>
      <c r="I178" s="51">
        <f t="shared" ca="1" si="15"/>
        <v>21</v>
      </c>
      <c r="J178" s="52"/>
      <c r="K178" s="53">
        <v>26360</v>
      </c>
      <c r="L178" s="54">
        <v>4</v>
      </c>
    </row>
    <row r="179" spans="1:12" ht="15" x14ac:dyDescent="0.25">
      <c r="A179" s="39" t="s">
        <v>668</v>
      </c>
      <c r="B179" s="46" t="s">
        <v>251</v>
      </c>
      <c r="C179" s="39" t="s">
        <v>417</v>
      </c>
      <c r="D179" s="72">
        <v>281005046</v>
      </c>
      <c r="E179" s="73">
        <v>2527051004</v>
      </c>
      <c r="F179" s="39" t="s">
        <v>247</v>
      </c>
      <c r="G179" s="81">
        <v>40054</v>
      </c>
      <c r="H179" s="105" t="str">
        <f t="shared" si="14"/>
        <v>August</v>
      </c>
      <c r="I179" s="51">
        <f t="shared" ca="1" si="15"/>
        <v>7</v>
      </c>
      <c r="J179" s="52"/>
      <c r="K179" s="53">
        <v>56920</v>
      </c>
      <c r="L179" s="54">
        <v>4</v>
      </c>
    </row>
    <row r="180" spans="1:12" ht="15" x14ac:dyDescent="0.25">
      <c r="A180" s="39" t="s">
        <v>997</v>
      </c>
      <c r="B180" s="46" t="s">
        <v>271</v>
      </c>
      <c r="C180" s="39" t="s">
        <v>417</v>
      </c>
      <c r="D180" s="72">
        <v>571821715</v>
      </c>
      <c r="E180" s="73">
        <v>2527102355</v>
      </c>
      <c r="F180" s="39" t="s">
        <v>256</v>
      </c>
      <c r="G180" s="81">
        <v>35605</v>
      </c>
      <c r="H180" s="105" t="str">
        <f t="shared" si="14"/>
        <v>June</v>
      </c>
      <c r="I180" s="51">
        <f t="shared" ca="1" si="15"/>
        <v>19</v>
      </c>
      <c r="J180" s="52" t="s">
        <v>283</v>
      </c>
      <c r="K180" s="53">
        <v>56870</v>
      </c>
      <c r="L180" s="54">
        <v>1</v>
      </c>
    </row>
    <row r="181" spans="1:12" ht="15" x14ac:dyDescent="0.25">
      <c r="A181" s="39" t="s">
        <v>506</v>
      </c>
      <c r="B181" s="46" t="s">
        <v>285</v>
      </c>
      <c r="C181" s="39" t="s">
        <v>417</v>
      </c>
      <c r="D181" s="72">
        <v>536516131</v>
      </c>
      <c r="E181" s="73">
        <v>2524442207</v>
      </c>
      <c r="F181" s="39" t="s">
        <v>256</v>
      </c>
      <c r="G181" s="81">
        <v>40470</v>
      </c>
      <c r="H181" s="105" t="str">
        <f t="shared" si="14"/>
        <v>October</v>
      </c>
      <c r="I181" s="51">
        <f t="shared" ca="1" si="15"/>
        <v>6</v>
      </c>
      <c r="J181" s="52" t="s">
        <v>283</v>
      </c>
      <c r="K181" s="53">
        <v>42620</v>
      </c>
      <c r="L181" s="54">
        <v>3</v>
      </c>
    </row>
    <row r="182" spans="1:12" ht="15" x14ac:dyDescent="0.25">
      <c r="A182" s="39" t="s">
        <v>544</v>
      </c>
      <c r="B182" s="46" t="s">
        <v>251</v>
      </c>
      <c r="C182" s="39" t="s">
        <v>417</v>
      </c>
      <c r="D182" s="72">
        <v>993867417</v>
      </c>
      <c r="E182" s="73">
        <v>2522338778</v>
      </c>
      <c r="F182" s="39" t="s">
        <v>256</v>
      </c>
      <c r="G182" s="81">
        <v>33923</v>
      </c>
      <c r="H182" s="105" t="str">
        <f t="shared" si="14"/>
        <v>November</v>
      </c>
      <c r="I182" s="51">
        <f t="shared" ca="1" si="15"/>
        <v>24</v>
      </c>
      <c r="J182" s="52" t="s">
        <v>283</v>
      </c>
      <c r="K182" s="53">
        <v>46340</v>
      </c>
      <c r="L182" s="54">
        <v>5</v>
      </c>
    </row>
    <row r="183" spans="1:12" ht="15" x14ac:dyDescent="0.25">
      <c r="A183" s="39" t="s">
        <v>1024</v>
      </c>
      <c r="B183" s="46" t="s">
        <v>285</v>
      </c>
      <c r="C183" s="39" t="s">
        <v>417</v>
      </c>
      <c r="D183" s="72">
        <v>661397587</v>
      </c>
      <c r="E183" s="73">
        <v>9196126835</v>
      </c>
      <c r="F183" s="39" t="s">
        <v>247</v>
      </c>
      <c r="G183" s="81">
        <v>34912</v>
      </c>
      <c r="H183" s="105" t="str">
        <f t="shared" si="14"/>
        <v>August</v>
      </c>
      <c r="I183" s="51">
        <f t="shared" ca="1" si="15"/>
        <v>21</v>
      </c>
      <c r="J183" s="52"/>
      <c r="K183" s="53">
        <v>40560</v>
      </c>
      <c r="L183" s="54">
        <v>5</v>
      </c>
    </row>
    <row r="184" spans="1:12" ht="15" x14ac:dyDescent="0.25">
      <c r="A184" s="39" t="s">
        <v>490</v>
      </c>
      <c r="B184" s="46" t="s">
        <v>271</v>
      </c>
      <c r="C184" s="39" t="s">
        <v>417</v>
      </c>
      <c r="D184" s="72">
        <v>407299017</v>
      </c>
      <c r="E184" s="73">
        <v>9195968632</v>
      </c>
      <c r="F184" s="39" t="s">
        <v>252</v>
      </c>
      <c r="G184" s="81">
        <v>39893</v>
      </c>
      <c r="H184" s="105" t="str">
        <f t="shared" si="14"/>
        <v>March</v>
      </c>
      <c r="I184" s="51">
        <f t="shared" ca="1" si="15"/>
        <v>7</v>
      </c>
      <c r="J184" s="52"/>
      <c r="K184" s="53">
        <v>15744</v>
      </c>
      <c r="L184" s="54">
        <v>3</v>
      </c>
    </row>
    <row r="185" spans="1:12" ht="15" x14ac:dyDescent="0.25">
      <c r="A185" s="39"/>
      <c r="B185" s="46"/>
      <c r="C185" s="111"/>
      <c r="D185" s="72"/>
      <c r="E185" s="73"/>
      <c r="F185" s="39"/>
      <c r="G185" s="81"/>
      <c r="H185" s="105"/>
      <c r="I185" s="51"/>
      <c r="J185" s="52"/>
      <c r="K185" s="53"/>
      <c r="L185" s="54"/>
    </row>
    <row r="186" spans="1:12" ht="15" x14ac:dyDescent="0.25">
      <c r="A186" s="39" t="s">
        <v>532</v>
      </c>
      <c r="B186" s="46" t="s">
        <v>271</v>
      </c>
      <c r="C186" s="39" t="s">
        <v>456</v>
      </c>
      <c r="D186" s="72">
        <v>244171882</v>
      </c>
      <c r="E186" s="73">
        <v>2527577867</v>
      </c>
      <c r="F186" s="39" t="s">
        <v>261</v>
      </c>
      <c r="G186" s="81">
        <v>34401</v>
      </c>
      <c r="H186" s="105" t="str">
        <f t="shared" ref="H186:H193" si="16">CHOOSE(MONTH(G186),"January","February","March","April","May","June","July","August","September","October","November","December")</f>
        <v>March</v>
      </c>
      <c r="I186" s="51">
        <f t="shared" ref="I186:I193" ca="1" si="17">DATEDIF(G186,TODAY(),"Y")</f>
        <v>22</v>
      </c>
      <c r="J186" s="52" t="s">
        <v>267</v>
      </c>
      <c r="K186" s="53">
        <v>89780</v>
      </c>
      <c r="L186" s="54">
        <v>4</v>
      </c>
    </row>
    <row r="187" spans="1:12" ht="15" x14ac:dyDescent="0.25">
      <c r="A187" s="39" t="s">
        <v>495</v>
      </c>
      <c r="B187" s="46" t="s">
        <v>271</v>
      </c>
      <c r="C187" s="39" t="s">
        <v>456</v>
      </c>
      <c r="D187" s="72">
        <v>861884260</v>
      </c>
      <c r="E187" s="73">
        <v>9196632360</v>
      </c>
      <c r="F187" s="39" t="s">
        <v>256</v>
      </c>
      <c r="G187" s="81">
        <v>33385</v>
      </c>
      <c r="H187" s="105" t="str">
        <f t="shared" si="16"/>
        <v>May</v>
      </c>
      <c r="I187" s="51">
        <f t="shared" ca="1" si="17"/>
        <v>25</v>
      </c>
      <c r="J187" s="52" t="s">
        <v>257</v>
      </c>
      <c r="K187" s="53">
        <v>89140</v>
      </c>
      <c r="L187" s="54">
        <v>1</v>
      </c>
    </row>
    <row r="188" spans="1:12" ht="15" x14ac:dyDescent="0.25">
      <c r="A188" s="39" t="s">
        <v>671</v>
      </c>
      <c r="B188" s="46" t="s">
        <v>285</v>
      </c>
      <c r="C188" s="39" t="s">
        <v>456</v>
      </c>
      <c r="D188" s="72">
        <v>771953685</v>
      </c>
      <c r="E188" s="73">
        <v>2526739978</v>
      </c>
      <c r="F188" s="39" t="s">
        <v>252</v>
      </c>
      <c r="G188" s="81">
        <v>37946</v>
      </c>
      <c r="H188" s="105" t="str">
        <f t="shared" si="16"/>
        <v>November</v>
      </c>
      <c r="I188" s="51">
        <f t="shared" ca="1" si="17"/>
        <v>12</v>
      </c>
      <c r="J188" s="52" t="s">
        <v>257</v>
      </c>
      <c r="K188" s="53">
        <v>85130</v>
      </c>
      <c r="L188" s="54">
        <v>5</v>
      </c>
    </row>
    <row r="189" spans="1:12" ht="15" x14ac:dyDescent="0.25">
      <c r="A189" s="39" t="s">
        <v>412</v>
      </c>
      <c r="B189" s="46" t="s">
        <v>251</v>
      </c>
      <c r="C189" s="39" t="s">
        <v>456</v>
      </c>
      <c r="D189" s="72">
        <v>117896630</v>
      </c>
      <c r="E189" s="73">
        <v>9197173558</v>
      </c>
      <c r="F189" s="39" t="s">
        <v>247</v>
      </c>
      <c r="G189" s="81">
        <v>40263</v>
      </c>
      <c r="H189" s="105" t="str">
        <f t="shared" si="16"/>
        <v>March</v>
      </c>
      <c r="I189" s="51">
        <f t="shared" ca="1" si="17"/>
        <v>6</v>
      </c>
      <c r="J189" s="52" t="s">
        <v>267</v>
      </c>
      <c r="K189" s="53">
        <v>71190</v>
      </c>
      <c r="L189" s="54">
        <v>4</v>
      </c>
    </row>
    <row r="190" spans="1:12" ht="15" x14ac:dyDescent="0.25">
      <c r="A190" s="39" t="s">
        <v>860</v>
      </c>
      <c r="B190" s="46" t="s">
        <v>280</v>
      </c>
      <c r="C190" s="39" t="s">
        <v>456</v>
      </c>
      <c r="D190" s="72">
        <v>477110649</v>
      </c>
      <c r="E190" s="73">
        <v>9191351512</v>
      </c>
      <c r="F190" s="39" t="s">
        <v>256</v>
      </c>
      <c r="G190" s="81">
        <v>37043</v>
      </c>
      <c r="H190" s="105" t="str">
        <f t="shared" si="16"/>
        <v>June</v>
      </c>
      <c r="I190" s="51">
        <f t="shared" ca="1" si="17"/>
        <v>15</v>
      </c>
      <c r="J190" s="52" t="s">
        <v>262</v>
      </c>
      <c r="K190" s="53">
        <v>45150</v>
      </c>
      <c r="L190" s="54">
        <v>1</v>
      </c>
    </row>
    <row r="191" spans="1:12" ht="15" x14ac:dyDescent="0.25">
      <c r="A191" s="39" t="s">
        <v>698</v>
      </c>
      <c r="B191" s="46" t="s">
        <v>280</v>
      </c>
      <c r="C191" s="39" t="s">
        <v>456</v>
      </c>
      <c r="D191" s="72">
        <v>746497232</v>
      </c>
      <c r="E191" s="73">
        <v>9196681578</v>
      </c>
      <c r="F191" s="39" t="s">
        <v>247</v>
      </c>
      <c r="G191" s="81">
        <v>36673</v>
      </c>
      <c r="H191" s="105" t="str">
        <f t="shared" si="16"/>
        <v>May</v>
      </c>
      <c r="I191" s="51">
        <f t="shared" ca="1" si="17"/>
        <v>16</v>
      </c>
      <c r="J191" s="52" t="s">
        <v>283</v>
      </c>
      <c r="K191" s="53">
        <v>69410</v>
      </c>
      <c r="L191" s="54">
        <v>4</v>
      </c>
    </row>
    <row r="192" spans="1:12" ht="15" x14ac:dyDescent="0.25">
      <c r="A192" s="39" t="s">
        <v>511</v>
      </c>
      <c r="B192" s="46" t="s">
        <v>271</v>
      </c>
      <c r="C192" s="39" t="s">
        <v>456</v>
      </c>
      <c r="D192" s="72">
        <v>351268538</v>
      </c>
      <c r="E192" s="73">
        <v>2525610944</v>
      </c>
      <c r="F192" s="39" t="s">
        <v>252</v>
      </c>
      <c r="G192" s="81">
        <v>36519</v>
      </c>
      <c r="H192" s="105" t="str">
        <f t="shared" si="16"/>
        <v>December</v>
      </c>
      <c r="I192" s="51">
        <f t="shared" ca="1" si="17"/>
        <v>16</v>
      </c>
      <c r="J192" s="52" t="s">
        <v>283</v>
      </c>
      <c r="K192" s="53">
        <v>61860</v>
      </c>
      <c r="L192" s="54">
        <v>5</v>
      </c>
    </row>
    <row r="193" spans="1:12" ht="15" x14ac:dyDescent="0.25">
      <c r="A193" s="39" t="s">
        <v>821</v>
      </c>
      <c r="B193" s="46" t="s">
        <v>285</v>
      </c>
      <c r="C193" s="39" t="s">
        <v>456</v>
      </c>
      <c r="D193" s="72">
        <v>875920441</v>
      </c>
      <c r="E193" s="73">
        <v>9191715499</v>
      </c>
      <c r="F193" s="39" t="s">
        <v>261</v>
      </c>
      <c r="G193" s="81">
        <v>37505</v>
      </c>
      <c r="H193" s="105" t="str">
        <f t="shared" si="16"/>
        <v>September</v>
      </c>
      <c r="I193" s="51">
        <f t="shared" ca="1" si="17"/>
        <v>14</v>
      </c>
      <c r="J193" s="52" t="s">
        <v>276</v>
      </c>
      <c r="K193" s="53">
        <v>51800</v>
      </c>
      <c r="L193" s="54">
        <v>1</v>
      </c>
    </row>
    <row r="194" spans="1:12" ht="15" x14ac:dyDescent="0.25">
      <c r="A194" s="39"/>
      <c r="B194" s="46"/>
      <c r="C194" s="111"/>
      <c r="D194" s="72"/>
      <c r="E194" s="73"/>
      <c r="F194" s="39"/>
      <c r="G194" s="81"/>
      <c r="H194" s="105"/>
      <c r="I194" s="51"/>
      <c r="J194" s="52"/>
      <c r="K194" s="53"/>
      <c r="L194" s="54"/>
    </row>
    <row r="195" spans="1:12" ht="15" x14ac:dyDescent="0.25">
      <c r="A195" s="39" t="s">
        <v>1003</v>
      </c>
      <c r="B195" s="46" t="s">
        <v>285</v>
      </c>
      <c r="C195" s="39" t="s">
        <v>465</v>
      </c>
      <c r="D195" s="72">
        <v>618535019</v>
      </c>
      <c r="E195" s="73">
        <v>9193695179</v>
      </c>
      <c r="F195" s="39" t="s">
        <v>256</v>
      </c>
      <c r="G195" s="81">
        <v>35932</v>
      </c>
      <c r="H195" s="105" t="str">
        <f t="shared" ref="H195:H226" si="18">CHOOSE(MONTH(G195),"January","February","March","April","May","June","July","August","September","October","November","December")</f>
        <v>May</v>
      </c>
      <c r="I195" s="51">
        <f t="shared" ref="I195:I226" ca="1" si="19">DATEDIF(G195,TODAY(),"Y")</f>
        <v>18</v>
      </c>
      <c r="J195" s="52" t="s">
        <v>283</v>
      </c>
      <c r="K195" s="53">
        <v>89740</v>
      </c>
      <c r="L195" s="54">
        <v>5</v>
      </c>
    </row>
    <row r="196" spans="1:12" ht="15" x14ac:dyDescent="0.25">
      <c r="A196" s="39" t="s">
        <v>897</v>
      </c>
      <c r="B196" s="46" t="s">
        <v>285</v>
      </c>
      <c r="C196" s="39" t="s">
        <v>465</v>
      </c>
      <c r="D196" s="72">
        <v>130619578</v>
      </c>
      <c r="E196" s="73">
        <v>9195057530</v>
      </c>
      <c r="F196" s="39" t="s">
        <v>247</v>
      </c>
      <c r="G196" s="81">
        <v>36718</v>
      </c>
      <c r="H196" s="105" t="str">
        <f t="shared" si="18"/>
        <v>July</v>
      </c>
      <c r="I196" s="51">
        <f t="shared" ca="1" si="19"/>
        <v>16</v>
      </c>
      <c r="J196" s="52"/>
      <c r="K196" s="53">
        <v>89520</v>
      </c>
      <c r="L196" s="54">
        <v>5</v>
      </c>
    </row>
    <row r="197" spans="1:12" ht="15" x14ac:dyDescent="0.25">
      <c r="A197" s="39" t="s">
        <v>904</v>
      </c>
      <c r="B197" s="46" t="s">
        <v>285</v>
      </c>
      <c r="C197" s="39" t="s">
        <v>465</v>
      </c>
      <c r="D197" s="72">
        <v>920477476</v>
      </c>
      <c r="E197" s="73">
        <v>2523162442</v>
      </c>
      <c r="F197" s="39" t="s">
        <v>247</v>
      </c>
      <c r="G197" s="81">
        <v>35185</v>
      </c>
      <c r="H197" s="105" t="str">
        <f t="shared" si="18"/>
        <v>April</v>
      </c>
      <c r="I197" s="51">
        <f t="shared" ca="1" si="19"/>
        <v>20</v>
      </c>
      <c r="J197" s="52"/>
      <c r="K197" s="53">
        <v>24410</v>
      </c>
      <c r="L197" s="54">
        <v>3</v>
      </c>
    </row>
    <row r="198" spans="1:12" ht="15" x14ac:dyDescent="0.25">
      <c r="A198" s="39" t="s">
        <v>633</v>
      </c>
      <c r="B198" s="46" t="s">
        <v>285</v>
      </c>
      <c r="C198" s="39" t="s">
        <v>465</v>
      </c>
      <c r="D198" s="72">
        <v>876777922</v>
      </c>
      <c r="E198" s="73">
        <v>2527358099</v>
      </c>
      <c r="F198" s="39" t="s">
        <v>247</v>
      </c>
      <c r="G198" s="103">
        <v>40449</v>
      </c>
      <c r="H198" s="105" t="str">
        <f t="shared" si="18"/>
        <v>September</v>
      </c>
      <c r="I198" s="51">
        <f t="shared" ca="1" si="19"/>
        <v>6</v>
      </c>
      <c r="J198" s="52"/>
      <c r="K198" s="53">
        <v>88840</v>
      </c>
      <c r="L198" s="54">
        <v>5</v>
      </c>
    </row>
    <row r="199" spans="1:12" ht="15" x14ac:dyDescent="0.25">
      <c r="A199" s="39" t="s">
        <v>755</v>
      </c>
      <c r="B199" s="46" t="s">
        <v>271</v>
      </c>
      <c r="C199" s="39" t="s">
        <v>465</v>
      </c>
      <c r="D199" s="72">
        <v>462995574</v>
      </c>
      <c r="E199" s="73">
        <v>2523431009</v>
      </c>
      <c r="F199" s="39" t="s">
        <v>256</v>
      </c>
      <c r="G199" s="81">
        <v>36101</v>
      </c>
      <c r="H199" s="105" t="str">
        <f t="shared" si="18"/>
        <v>November</v>
      </c>
      <c r="I199" s="51">
        <f t="shared" ca="1" si="19"/>
        <v>18</v>
      </c>
      <c r="J199" s="52" t="s">
        <v>257</v>
      </c>
      <c r="K199" s="53">
        <v>88240</v>
      </c>
      <c r="L199" s="54">
        <v>5</v>
      </c>
    </row>
    <row r="200" spans="1:12" ht="15" x14ac:dyDescent="0.25">
      <c r="A200" s="39" t="s">
        <v>320</v>
      </c>
      <c r="B200" s="46" t="s">
        <v>285</v>
      </c>
      <c r="C200" s="39" t="s">
        <v>465</v>
      </c>
      <c r="D200" s="72">
        <v>564908088</v>
      </c>
      <c r="E200" s="73">
        <v>9193386758</v>
      </c>
      <c r="F200" s="39" t="s">
        <v>256</v>
      </c>
      <c r="G200" s="81">
        <v>38377</v>
      </c>
      <c r="H200" s="105" t="str">
        <f t="shared" si="18"/>
        <v>January</v>
      </c>
      <c r="I200" s="51">
        <f t="shared" ca="1" si="19"/>
        <v>11</v>
      </c>
      <c r="J200" s="52" t="s">
        <v>257</v>
      </c>
      <c r="K200" s="53">
        <v>87760</v>
      </c>
      <c r="L200" s="54">
        <v>1</v>
      </c>
    </row>
    <row r="201" spans="1:12" ht="15" x14ac:dyDescent="0.25">
      <c r="A201" s="39" t="s">
        <v>325</v>
      </c>
      <c r="B201" s="46" t="s">
        <v>271</v>
      </c>
      <c r="C201" s="39" t="s">
        <v>465</v>
      </c>
      <c r="D201" s="72">
        <v>984570981</v>
      </c>
      <c r="E201" s="73">
        <v>2528155179</v>
      </c>
      <c r="F201" s="39" t="s">
        <v>261</v>
      </c>
      <c r="G201" s="81">
        <v>36269</v>
      </c>
      <c r="H201" s="105" t="str">
        <f t="shared" si="18"/>
        <v>April</v>
      </c>
      <c r="I201" s="51">
        <f t="shared" ca="1" si="19"/>
        <v>17</v>
      </c>
      <c r="J201" s="52" t="s">
        <v>283</v>
      </c>
      <c r="K201" s="53">
        <v>48190</v>
      </c>
      <c r="L201" s="54">
        <v>1</v>
      </c>
    </row>
    <row r="202" spans="1:12" ht="15" x14ac:dyDescent="0.25">
      <c r="A202" s="39" t="s">
        <v>662</v>
      </c>
      <c r="B202" s="46" t="s">
        <v>285</v>
      </c>
      <c r="C202" s="39" t="s">
        <v>465</v>
      </c>
      <c r="D202" s="72">
        <v>594680949</v>
      </c>
      <c r="E202" s="73">
        <v>9192375580</v>
      </c>
      <c r="F202" s="39" t="s">
        <v>261</v>
      </c>
      <c r="G202" s="81">
        <v>36422</v>
      </c>
      <c r="H202" s="105" t="str">
        <f t="shared" si="18"/>
        <v>September</v>
      </c>
      <c r="I202" s="51">
        <f t="shared" ca="1" si="19"/>
        <v>17</v>
      </c>
      <c r="J202" s="52" t="s">
        <v>283</v>
      </c>
      <c r="K202" s="53">
        <v>17270</v>
      </c>
      <c r="L202" s="54">
        <v>5</v>
      </c>
    </row>
    <row r="203" spans="1:12" ht="15" x14ac:dyDescent="0.25">
      <c r="A203" s="39" t="s">
        <v>970</v>
      </c>
      <c r="B203" s="46" t="s">
        <v>271</v>
      </c>
      <c r="C203" s="39" t="s">
        <v>465</v>
      </c>
      <c r="D203" s="72">
        <v>371001908</v>
      </c>
      <c r="E203" s="73">
        <v>2527061632</v>
      </c>
      <c r="F203" s="39" t="s">
        <v>256</v>
      </c>
      <c r="G203" s="81">
        <v>35356</v>
      </c>
      <c r="H203" s="105" t="str">
        <f t="shared" si="18"/>
        <v>October</v>
      </c>
      <c r="I203" s="51">
        <f t="shared" ca="1" si="19"/>
        <v>20</v>
      </c>
      <c r="J203" s="52" t="s">
        <v>262</v>
      </c>
      <c r="K203" s="53">
        <v>45480</v>
      </c>
      <c r="L203" s="54">
        <v>4</v>
      </c>
    </row>
    <row r="204" spans="1:12" ht="15" x14ac:dyDescent="0.25">
      <c r="A204" s="39" t="s">
        <v>992</v>
      </c>
      <c r="B204" s="46" t="s">
        <v>271</v>
      </c>
      <c r="C204" s="39" t="s">
        <v>465</v>
      </c>
      <c r="D204" s="72">
        <v>962553692</v>
      </c>
      <c r="E204" s="73">
        <v>9196689962</v>
      </c>
      <c r="F204" s="39" t="s">
        <v>256</v>
      </c>
      <c r="G204" s="81">
        <v>35156</v>
      </c>
      <c r="H204" s="105" t="str">
        <f t="shared" si="18"/>
        <v>April</v>
      </c>
      <c r="I204" s="51">
        <f t="shared" ca="1" si="19"/>
        <v>20</v>
      </c>
      <c r="J204" s="52" t="s">
        <v>283</v>
      </c>
      <c r="K204" s="53">
        <v>86260</v>
      </c>
      <c r="L204" s="54">
        <v>3</v>
      </c>
    </row>
    <row r="205" spans="1:12" ht="15" x14ac:dyDescent="0.25">
      <c r="A205" s="39" t="s">
        <v>377</v>
      </c>
      <c r="B205" s="46" t="s">
        <v>285</v>
      </c>
      <c r="C205" s="39" t="s">
        <v>465</v>
      </c>
      <c r="D205" s="72">
        <v>276980518</v>
      </c>
      <c r="E205" s="73">
        <v>9195267252</v>
      </c>
      <c r="F205" s="39" t="s">
        <v>256</v>
      </c>
      <c r="G205" s="81">
        <v>38832</v>
      </c>
      <c r="H205" s="105" t="str">
        <f t="shared" si="18"/>
        <v>April</v>
      </c>
      <c r="I205" s="51">
        <f t="shared" ca="1" si="19"/>
        <v>10</v>
      </c>
      <c r="J205" s="52" t="s">
        <v>276</v>
      </c>
      <c r="K205" s="53">
        <v>29420</v>
      </c>
      <c r="L205" s="54">
        <v>5</v>
      </c>
    </row>
    <row r="206" spans="1:12" ht="15" x14ac:dyDescent="0.25">
      <c r="A206" s="39" t="s">
        <v>818</v>
      </c>
      <c r="B206" s="46" t="s">
        <v>280</v>
      </c>
      <c r="C206" s="39" t="s">
        <v>465</v>
      </c>
      <c r="D206" s="72">
        <v>620336005</v>
      </c>
      <c r="E206" s="73">
        <v>9196422185</v>
      </c>
      <c r="F206" s="39" t="s">
        <v>256</v>
      </c>
      <c r="G206" s="81">
        <v>38377</v>
      </c>
      <c r="H206" s="105" t="str">
        <f t="shared" si="18"/>
        <v>January</v>
      </c>
      <c r="I206" s="51">
        <f t="shared" ca="1" si="19"/>
        <v>11</v>
      </c>
      <c r="J206" s="52" t="s">
        <v>257</v>
      </c>
      <c r="K206" s="53">
        <v>41060</v>
      </c>
      <c r="L206" s="54">
        <v>3</v>
      </c>
    </row>
    <row r="207" spans="1:12" ht="15" x14ac:dyDescent="0.25">
      <c r="A207" s="39" t="s">
        <v>1014</v>
      </c>
      <c r="B207" s="46" t="s">
        <v>271</v>
      </c>
      <c r="C207" s="39" t="s">
        <v>465</v>
      </c>
      <c r="D207" s="72">
        <v>829216164</v>
      </c>
      <c r="E207" s="73">
        <v>2524982487</v>
      </c>
      <c r="F207" s="39" t="s">
        <v>247</v>
      </c>
      <c r="G207" s="81">
        <v>39545</v>
      </c>
      <c r="H207" s="105" t="str">
        <f t="shared" si="18"/>
        <v>April</v>
      </c>
      <c r="I207" s="51">
        <f t="shared" ca="1" si="19"/>
        <v>8</v>
      </c>
      <c r="J207" s="52"/>
      <c r="K207" s="53">
        <v>84170</v>
      </c>
      <c r="L207" s="54">
        <v>2</v>
      </c>
    </row>
    <row r="208" spans="1:12" ht="15" x14ac:dyDescent="0.25">
      <c r="A208" s="39" t="s">
        <v>396</v>
      </c>
      <c r="B208" s="46" t="s">
        <v>271</v>
      </c>
      <c r="C208" s="39" t="s">
        <v>465</v>
      </c>
      <c r="D208" s="72">
        <v>910964196</v>
      </c>
      <c r="E208" s="73">
        <v>9194361873</v>
      </c>
      <c r="F208" s="39" t="s">
        <v>247</v>
      </c>
      <c r="G208" s="81">
        <v>33819</v>
      </c>
      <c r="H208" s="105" t="str">
        <f t="shared" si="18"/>
        <v>August</v>
      </c>
      <c r="I208" s="51">
        <f t="shared" ca="1" si="19"/>
        <v>24</v>
      </c>
      <c r="J208" s="52"/>
      <c r="K208" s="53">
        <v>49530</v>
      </c>
      <c r="L208" s="54">
        <v>2</v>
      </c>
    </row>
    <row r="209" spans="1:12" ht="15" x14ac:dyDescent="0.25">
      <c r="A209" s="39" t="s">
        <v>685</v>
      </c>
      <c r="B209" s="46" t="s">
        <v>245</v>
      </c>
      <c r="C209" s="39" t="s">
        <v>465</v>
      </c>
      <c r="D209" s="72">
        <v>566726453</v>
      </c>
      <c r="E209" s="73">
        <v>9192168237</v>
      </c>
      <c r="F209" s="39" t="s">
        <v>256</v>
      </c>
      <c r="G209" s="81">
        <v>35020</v>
      </c>
      <c r="H209" s="105" t="str">
        <f t="shared" si="18"/>
        <v>November</v>
      </c>
      <c r="I209" s="51">
        <f t="shared" ca="1" si="19"/>
        <v>20</v>
      </c>
      <c r="J209" s="52" t="s">
        <v>262</v>
      </c>
      <c r="K209" s="53">
        <v>38940</v>
      </c>
      <c r="L209" s="54">
        <v>2</v>
      </c>
    </row>
    <row r="210" spans="1:12" ht="15" x14ac:dyDescent="0.25">
      <c r="A210" s="39" t="s">
        <v>735</v>
      </c>
      <c r="B210" s="46" t="s">
        <v>271</v>
      </c>
      <c r="C210" s="39" t="s">
        <v>465</v>
      </c>
      <c r="D210" s="72">
        <v>380653169</v>
      </c>
      <c r="E210" s="73">
        <v>9194743535</v>
      </c>
      <c r="F210" s="39" t="s">
        <v>256</v>
      </c>
      <c r="G210" s="81">
        <v>34151</v>
      </c>
      <c r="H210" s="105" t="str">
        <f t="shared" si="18"/>
        <v>July</v>
      </c>
      <c r="I210" s="51">
        <f t="shared" ca="1" si="19"/>
        <v>23</v>
      </c>
      <c r="J210" s="52" t="s">
        <v>283</v>
      </c>
      <c r="K210" s="53">
        <v>81980</v>
      </c>
      <c r="L210" s="54">
        <v>2</v>
      </c>
    </row>
    <row r="211" spans="1:12" ht="15" x14ac:dyDescent="0.25">
      <c r="A211" s="39" t="s">
        <v>351</v>
      </c>
      <c r="B211" s="46" t="s">
        <v>251</v>
      </c>
      <c r="C211" s="39" t="s">
        <v>465</v>
      </c>
      <c r="D211" s="72">
        <v>923123594</v>
      </c>
      <c r="E211" s="73">
        <v>2528669137</v>
      </c>
      <c r="F211" s="39" t="s">
        <v>256</v>
      </c>
      <c r="G211" s="81">
        <v>36198</v>
      </c>
      <c r="H211" s="105" t="str">
        <f t="shared" si="18"/>
        <v>February</v>
      </c>
      <c r="I211" s="51">
        <f t="shared" ca="1" si="19"/>
        <v>17</v>
      </c>
      <c r="J211" s="52" t="s">
        <v>276</v>
      </c>
      <c r="K211" s="53">
        <v>81400</v>
      </c>
      <c r="L211" s="54">
        <v>2</v>
      </c>
    </row>
    <row r="212" spans="1:12" ht="15" x14ac:dyDescent="0.25">
      <c r="A212" s="39" t="s">
        <v>493</v>
      </c>
      <c r="B212" s="46" t="s">
        <v>266</v>
      </c>
      <c r="C212" s="39" t="s">
        <v>465</v>
      </c>
      <c r="D212" s="72">
        <v>425634540</v>
      </c>
      <c r="E212" s="73">
        <v>9196969994</v>
      </c>
      <c r="F212" s="39" t="s">
        <v>256</v>
      </c>
      <c r="G212" s="81">
        <v>40175</v>
      </c>
      <c r="H212" s="105" t="str">
        <f t="shared" si="18"/>
        <v>December</v>
      </c>
      <c r="I212" s="51">
        <f t="shared" ca="1" si="19"/>
        <v>6</v>
      </c>
      <c r="J212" s="52" t="s">
        <v>267</v>
      </c>
      <c r="K212" s="53">
        <v>34690</v>
      </c>
      <c r="L212" s="54">
        <v>2</v>
      </c>
    </row>
    <row r="213" spans="1:12" ht="15" x14ac:dyDescent="0.25">
      <c r="A213" s="39" t="s">
        <v>573</v>
      </c>
      <c r="B213" s="46" t="s">
        <v>251</v>
      </c>
      <c r="C213" s="39" t="s">
        <v>465</v>
      </c>
      <c r="D213" s="72">
        <v>720538680</v>
      </c>
      <c r="E213" s="73">
        <v>2522126686</v>
      </c>
      <c r="F213" s="39" t="s">
        <v>256</v>
      </c>
      <c r="G213" s="81">
        <v>34483</v>
      </c>
      <c r="H213" s="105" t="str">
        <f t="shared" si="18"/>
        <v>May</v>
      </c>
      <c r="I213" s="51">
        <f t="shared" ca="1" si="19"/>
        <v>22</v>
      </c>
      <c r="J213" s="52" t="s">
        <v>257</v>
      </c>
      <c r="K213" s="53">
        <v>81010</v>
      </c>
      <c r="L213" s="54">
        <v>4</v>
      </c>
    </row>
    <row r="214" spans="1:12" ht="15" x14ac:dyDescent="0.25">
      <c r="A214" s="39" t="s">
        <v>657</v>
      </c>
      <c r="B214" s="46" t="s">
        <v>266</v>
      </c>
      <c r="C214" s="39" t="s">
        <v>465</v>
      </c>
      <c r="D214" s="72">
        <v>165917010</v>
      </c>
      <c r="E214" s="73">
        <v>2527038033</v>
      </c>
      <c r="F214" s="39" t="s">
        <v>247</v>
      </c>
      <c r="G214" s="81">
        <v>34671</v>
      </c>
      <c r="H214" s="105" t="str">
        <f t="shared" si="18"/>
        <v>December</v>
      </c>
      <c r="I214" s="51">
        <f t="shared" ca="1" si="19"/>
        <v>21</v>
      </c>
      <c r="J214" s="52"/>
      <c r="K214" s="53">
        <v>80690</v>
      </c>
      <c r="L214" s="54">
        <v>3</v>
      </c>
    </row>
    <row r="215" spans="1:12" ht="15" x14ac:dyDescent="0.25">
      <c r="A215" s="39" t="s">
        <v>1019</v>
      </c>
      <c r="B215" s="46" t="s">
        <v>251</v>
      </c>
      <c r="C215" s="39" t="s">
        <v>465</v>
      </c>
      <c r="D215" s="72">
        <v>240272873</v>
      </c>
      <c r="E215" s="73">
        <v>9198912054</v>
      </c>
      <c r="F215" s="39" t="s">
        <v>247</v>
      </c>
      <c r="G215" s="81">
        <v>38912</v>
      </c>
      <c r="H215" s="105" t="str">
        <f t="shared" si="18"/>
        <v>July</v>
      </c>
      <c r="I215" s="51">
        <f t="shared" ca="1" si="19"/>
        <v>10</v>
      </c>
      <c r="J215" s="52"/>
      <c r="K215" s="53">
        <v>80330</v>
      </c>
      <c r="L215" s="54">
        <v>4</v>
      </c>
    </row>
    <row r="216" spans="1:12" ht="15" x14ac:dyDescent="0.25">
      <c r="A216" s="39" t="s">
        <v>614</v>
      </c>
      <c r="B216" s="46" t="s">
        <v>271</v>
      </c>
      <c r="C216" s="39" t="s">
        <v>465</v>
      </c>
      <c r="D216" s="72">
        <v>501523688</v>
      </c>
      <c r="E216" s="73">
        <v>2528560698</v>
      </c>
      <c r="F216" s="39" t="s">
        <v>256</v>
      </c>
      <c r="G216" s="81">
        <v>35520</v>
      </c>
      <c r="H216" s="105" t="str">
        <f t="shared" si="18"/>
        <v>March</v>
      </c>
      <c r="I216" s="51">
        <f t="shared" ca="1" si="19"/>
        <v>19</v>
      </c>
      <c r="J216" s="52" t="s">
        <v>257</v>
      </c>
      <c r="K216" s="53">
        <v>79730</v>
      </c>
      <c r="L216" s="54">
        <v>2</v>
      </c>
    </row>
    <row r="217" spans="1:12" ht="15" x14ac:dyDescent="0.25">
      <c r="A217" s="39" t="s">
        <v>730</v>
      </c>
      <c r="B217" s="46" t="s">
        <v>285</v>
      </c>
      <c r="C217" s="39" t="s">
        <v>465</v>
      </c>
      <c r="D217" s="72">
        <v>356242235</v>
      </c>
      <c r="E217" s="73">
        <v>2521667727</v>
      </c>
      <c r="F217" s="39" t="s">
        <v>261</v>
      </c>
      <c r="G217" s="81">
        <v>36604</v>
      </c>
      <c r="H217" s="105" t="str">
        <f t="shared" si="18"/>
        <v>March</v>
      </c>
      <c r="I217" s="51">
        <f t="shared" ca="1" si="19"/>
        <v>16</v>
      </c>
      <c r="J217" s="52" t="s">
        <v>283</v>
      </c>
      <c r="K217" s="53">
        <v>46710</v>
      </c>
      <c r="L217" s="54">
        <v>3</v>
      </c>
    </row>
    <row r="218" spans="1:12" ht="15" x14ac:dyDescent="0.25">
      <c r="A218" s="39" t="s">
        <v>564</v>
      </c>
      <c r="B218" s="46" t="s">
        <v>285</v>
      </c>
      <c r="C218" s="39" t="s">
        <v>465</v>
      </c>
      <c r="D218" s="72">
        <v>428024993</v>
      </c>
      <c r="E218" s="73">
        <v>9196410575</v>
      </c>
      <c r="F218" s="39" t="s">
        <v>247</v>
      </c>
      <c r="G218" s="81">
        <v>33774</v>
      </c>
      <c r="H218" s="105" t="str">
        <f t="shared" si="18"/>
        <v>June</v>
      </c>
      <c r="I218" s="51">
        <f t="shared" ca="1" si="19"/>
        <v>24</v>
      </c>
      <c r="J218" s="52"/>
      <c r="K218" s="53">
        <v>32190</v>
      </c>
      <c r="L218" s="54">
        <v>3</v>
      </c>
    </row>
    <row r="219" spans="1:12" ht="15" x14ac:dyDescent="0.25">
      <c r="A219" s="39" t="s">
        <v>355</v>
      </c>
      <c r="B219" s="46" t="s">
        <v>245</v>
      </c>
      <c r="C219" s="39" t="s">
        <v>465</v>
      </c>
      <c r="D219" s="72">
        <v>138607245</v>
      </c>
      <c r="E219" s="73">
        <v>2522140101</v>
      </c>
      <c r="F219" s="39" t="s">
        <v>247</v>
      </c>
      <c r="G219" s="81">
        <v>34053</v>
      </c>
      <c r="H219" s="105" t="str">
        <f t="shared" si="18"/>
        <v>March</v>
      </c>
      <c r="I219" s="51">
        <f t="shared" ca="1" si="19"/>
        <v>23</v>
      </c>
      <c r="J219" s="52"/>
      <c r="K219" s="53">
        <v>79220</v>
      </c>
      <c r="L219" s="54">
        <v>4</v>
      </c>
    </row>
    <row r="220" spans="1:12" ht="15" x14ac:dyDescent="0.25">
      <c r="A220" s="39" t="s">
        <v>545</v>
      </c>
      <c r="B220" s="46" t="s">
        <v>271</v>
      </c>
      <c r="C220" s="39" t="s">
        <v>465</v>
      </c>
      <c r="D220" s="72">
        <v>854806695</v>
      </c>
      <c r="E220" s="73">
        <v>9192672603</v>
      </c>
      <c r="F220" s="39" t="s">
        <v>256</v>
      </c>
      <c r="G220" s="81">
        <v>33721</v>
      </c>
      <c r="H220" s="105" t="str">
        <f t="shared" si="18"/>
        <v>April</v>
      </c>
      <c r="I220" s="51">
        <f t="shared" ca="1" si="19"/>
        <v>24</v>
      </c>
      <c r="J220" s="52" t="s">
        <v>283</v>
      </c>
      <c r="K220" s="53">
        <v>26190</v>
      </c>
      <c r="L220" s="54">
        <v>5</v>
      </c>
    </row>
    <row r="221" spans="1:12" ht="15" x14ac:dyDescent="0.25">
      <c r="A221" s="39" t="s">
        <v>483</v>
      </c>
      <c r="B221" s="46" t="s">
        <v>251</v>
      </c>
      <c r="C221" s="39" t="s">
        <v>465</v>
      </c>
      <c r="D221" s="72">
        <v>338977629</v>
      </c>
      <c r="E221" s="73">
        <v>2524252315</v>
      </c>
      <c r="F221" s="39" t="s">
        <v>256</v>
      </c>
      <c r="G221" s="81">
        <v>35801</v>
      </c>
      <c r="H221" s="105" t="str">
        <f t="shared" si="18"/>
        <v>January</v>
      </c>
      <c r="I221" s="51">
        <f t="shared" ca="1" si="19"/>
        <v>18</v>
      </c>
      <c r="J221" s="52" t="s">
        <v>257</v>
      </c>
      <c r="K221" s="53">
        <v>78570</v>
      </c>
      <c r="L221" s="54">
        <v>1</v>
      </c>
    </row>
    <row r="222" spans="1:12" ht="15" x14ac:dyDescent="0.25">
      <c r="A222" s="39" t="s">
        <v>1028</v>
      </c>
      <c r="B222" s="46" t="s">
        <v>285</v>
      </c>
      <c r="C222" s="39" t="s">
        <v>465</v>
      </c>
      <c r="D222" s="72">
        <v>412611335</v>
      </c>
      <c r="E222" s="73">
        <v>2525998691</v>
      </c>
      <c r="F222" s="39" t="s">
        <v>247</v>
      </c>
      <c r="G222" s="81">
        <v>38507</v>
      </c>
      <c r="H222" s="105" t="str">
        <f t="shared" si="18"/>
        <v>June</v>
      </c>
      <c r="I222" s="51">
        <f t="shared" ca="1" si="19"/>
        <v>11</v>
      </c>
      <c r="J222" s="52"/>
      <c r="K222" s="53">
        <v>40940</v>
      </c>
      <c r="L222" s="54">
        <v>2</v>
      </c>
    </row>
    <row r="223" spans="1:12" ht="15" x14ac:dyDescent="0.25">
      <c r="A223" s="39" t="s">
        <v>881</v>
      </c>
      <c r="B223" s="46" t="s">
        <v>245</v>
      </c>
      <c r="C223" s="39" t="s">
        <v>465</v>
      </c>
      <c r="D223" s="72">
        <v>159117255</v>
      </c>
      <c r="E223" s="73">
        <v>9198426889</v>
      </c>
      <c r="F223" s="39" t="s">
        <v>247</v>
      </c>
      <c r="G223" s="81">
        <v>39830</v>
      </c>
      <c r="H223" s="105" t="str">
        <f t="shared" si="18"/>
        <v>January</v>
      </c>
      <c r="I223" s="51">
        <f t="shared" ca="1" si="19"/>
        <v>7</v>
      </c>
      <c r="J223" s="52"/>
      <c r="K223" s="53">
        <v>78520</v>
      </c>
      <c r="L223" s="54">
        <v>4</v>
      </c>
    </row>
    <row r="224" spans="1:12" ht="15" x14ac:dyDescent="0.25">
      <c r="A224" s="39" t="s">
        <v>603</v>
      </c>
      <c r="B224" s="46" t="s">
        <v>280</v>
      </c>
      <c r="C224" s="39" t="s">
        <v>465</v>
      </c>
      <c r="D224" s="72">
        <v>180095803</v>
      </c>
      <c r="E224" s="73">
        <v>2526503334</v>
      </c>
      <c r="F224" s="39" t="s">
        <v>256</v>
      </c>
      <c r="G224" s="81">
        <v>39972</v>
      </c>
      <c r="H224" s="105" t="str">
        <f t="shared" si="18"/>
        <v>June</v>
      </c>
      <c r="I224" s="51">
        <f t="shared" ca="1" si="19"/>
        <v>7</v>
      </c>
      <c r="J224" s="52" t="s">
        <v>257</v>
      </c>
      <c r="K224" s="53">
        <v>78170</v>
      </c>
      <c r="L224" s="54">
        <v>5</v>
      </c>
    </row>
    <row r="225" spans="1:12" ht="15" x14ac:dyDescent="0.25">
      <c r="A225" s="39" t="s">
        <v>695</v>
      </c>
      <c r="B225" s="46" t="s">
        <v>285</v>
      </c>
      <c r="C225" s="39" t="s">
        <v>465</v>
      </c>
      <c r="D225" s="72">
        <v>722630791</v>
      </c>
      <c r="E225" s="73">
        <v>2522263363</v>
      </c>
      <c r="F225" s="39" t="s">
        <v>252</v>
      </c>
      <c r="G225" s="81">
        <v>35982</v>
      </c>
      <c r="H225" s="105" t="str">
        <f t="shared" si="18"/>
        <v>July</v>
      </c>
      <c r="I225" s="51">
        <f t="shared" ca="1" si="19"/>
        <v>18</v>
      </c>
      <c r="J225" s="52"/>
      <c r="K225" s="53">
        <v>8904</v>
      </c>
      <c r="L225" s="54">
        <v>3</v>
      </c>
    </row>
    <row r="226" spans="1:12" ht="15" x14ac:dyDescent="0.25">
      <c r="A226" s="39" t="s">
        <v>854</v>
      </c>
      <c r="B226" s="46" t="s">
        <v>285</v>
      </c>
      <c r="C226" s="39" t="s">
        <v>465</v>
      </c>
      <c r="D226" s="72">
        <v>167058119</v>
      </c>
      <c r="E226" s="73">
        <v>2527237007</v>
      </c>
      <c r="F226" s="39" t="s">
        <v>252</v>
      </c>
      <c r="G226" s="81">
        <v>37730</v>
      </c>
      <c r="H226" s="105" t="str">
        <f t="shared" si="18"/>
        <v>April</v>
      </c>
      <c r="I226" s="51">
        <f t="shared" ca="1" si="19"/>
        <v>13</v>
      </c>
      <c r="J226" s="52"/>
      <c r="K226" s="53">
        <v>8892</v>
      </c>
      <c r="L226" s="54">
        <v>1</v>
      </c>
    </row>
    <row r="227" spans="1:12" ht="15" x14ac:dyDescent="0.25">
      <c r="A227" s="39" t="s">
        <v>886</v>
      </c>
      <c r="B227" s="46" t="s">
        <v>271</v>
      </c>
      <c r="C227" s="39" t="s">
        <v>465</v>
      </c>
      <c r="D227" s="72">
        <v>775217609</v>
      </c>
      <c r="E227" s="73">
        <v>9191591006</v>
      </c>
      <c r="F227" s="39" t="s">
        <v>256</v>
      </c>
      <c r="G227" s="81">
        <v>34404</v>
      </c>
      <c r="H227" s="105" t="str">
        <f t="shared" ref="H227:H258" si="20">CHOOSE(MONTH(G227),"January","February","March","April","May","June","July","August","September","October","November","December")</f>
        <v>March</v>
      </c>
      <c r="I227" s="51">
        <f t="shared" ref="I227:I258" ca="1" si="21">DATEDIF(G227,TODAY(),"Y")</f>
        <v>22</v>
      </c>
      <c r="J227" s="52" t="s">
        <v>283</v>
      </c>
      <c r="K227" s="53">
        <v>24710</v>
      </c>
      <c r="L227" s="54">
        <v>2</v>
      </c>
    </row>
    <row r="228" spans="1:12" ht="15" x14ac:dyDescent="0.25">
      <c r="A228" s="39" t="s">
        <v>738</v>
      </c>
      <c r="B228" s="46" t="s">
        <v>266</v>
      </c>
      <c r="C228" s="39" t="s">
        <v>465</v>
      </c>
      <c r="D228" s="72">
        <v>881975933</v>
      </c>
      <c r="E228" s="73">
        <v>9192354572</v>
      </c>
      <c r="F228" s="39" t="s">
        <v>256</v>
      </c>
      <c r="G228" s="81">
        <v>35830</v>
      </c>
      <c r="H228" s="105" t="str">
        <f t="shared" si="20"/>
        <v>February</v>
      </c>
      <c r="I228" s="51">
        <f t="shared" ca="1" si="21"/>
        <v>18</v>
      </c>
      <c r="J228" s="52" t="s">
        <v>267</v>
      </c>
      <c r="K228" s="53">
        <v>35460</v>
      </c>
      <c r="L228" s="54">
        <v>5</v>
      </c>
    </row>
    <row r="229" spans="1:12" ht="15" x14ac:dyDescent="0.25">
      <c r="A229" s="39" t="s">
        <v>940</v>
      </c>
      <c r="B229" s="46" t="s">
        <v>285</v>
      </c>
      <c r="C229" s="39" t="s">
        <v>465</v>
      </c>
      <c r="D229" s="72">
        <v>482927373</v>
      </c>
      <c r="E229" s="73">
        <v>9198413271</v>
      </c>
      <c r="F229" s="39" t="s">
        <v>256</v>
      </c>
      <c r="G229" s="81">
        <v>35526</v>
      </c>
      <c r="H229" s="105" t="str">
        <f t="shared" si="20"/>
        <v>April</v>
      </c>
      <c r="I229" s="51">
        <f t="shared" ca="1" si="21"/>
        <v>19</v>
      </c>
      <c r="J229" s="52" t="s">
        <v>283</v>
      </c>
      <c r="K229" s="53">
        <v>32390</v>
      </c>
      <c r="L229" s="54">
        <v>2</v>
      </c>
    </row>
    <row r="230" spans="1:12" ht="15" x14ac:dyDescent="0.25">
      <c r="A230" s="39" t="s">
        <v>724</v>
      </c>
      <c r="B230" s="46" t="s">
        <v>245</v>
      </c>
      <c r="C230" s="39" t="s">
        <v>465</v>
      </c>
      <c r="D230" s="72">
        <v>353414196</v>
      </c>
      <c r="E230" s="73">
        <v>2528159919</v>
      </c>
      <c r="F230" s="39" t="s">
        <v>256</v>
      </c>
      <c r="G230" s="81">
        <v>36698</v>
      </c>
      <c r="H230" s="105" t="str">
        <f t="shared" si="20"/>
        <v>June</v>
      </c>
      <c r="I230" s="51">
        <f t="shared" ca="1" si="21"/>
        <v>16</v>
      </c>
      <c r="J230" s="52" t="s">
        <v>267</v>
      </c>
      <c r="K230" s="53">
        <v>23650</v>
      </c>
      <c r="L230" s="54">
        <v>1</v>
      </c>
    </row>
    <row r="231" spans="1:12" ht="15" x14ac:dyDescent="0.25">
      <c r="A231" s="39" t="s">
        <v>857</v>
      </c>
      <c r="B231" s="46" t="s">
        <v>266</v>
      </c>
      <c r="C231" s="39" t="s">
        <v>465</v>
      </c>
      <c r="D231" s="72">
        <v>484217278</v>
      </c>
      <c r="E231" s="73">
        <v>9195627374</v>
      </c>
      <c r="F231" s="39" t="s">
        <v>252</v>
      </c>
      <c r="G231" s="81">
        <v>39747</v>
      </c>
      <c r="H231" s="105" t="str">
        <f t="shared" si="20"/>
        <v>October</v>
      </c>
      <c r="I231" s="51">
        <f t="shared" ca="1" si="21"/>
        <v>8</v>
      </c>
      <c r="J231" s="52"/>
      <c r="K231" s="53">
        <v>10572</v>
      </c>
      <c r="L231" s="54">
        <v>4</v>
      </c>
    </row>
    <row r="232" spans="1:12" ht="15" x14ac:dyDescent="0.25">
      <c r="A232" s="39" t="s">
        <v>478</v>
      </c>
      <c r="B232" s="46" t="s">
        <v>251</v>
      </c>
      <c r="C232" s="39" t="s">
        <v>465</v>
      </c>
      <c r="D232" s="72">
        <v>317844971</v>
      </c>
      <c r="E232" s="73">
        <v>9193557946</v>
      </c>
      <c r="F232" s="39" t="s">
        <v>247</v>
      </c>
      <c r="G232" s="81">
        <v>35927</v>
      </c>
      <c r="H232" s="105" t="str">
        <f t="shared" si="20"/>
        <v>May</v>
      </c>
      <c r="I232" s="51">
        <f t="shared" ca="1" si="21"/>
        <v>18</v>
      </c>
      <c r="J232" s="52"/>
      <c r="K232" s="53">
        <v>76910</v>
      </c>
      <c r="L232" s="54">
        <v>1</v>
      </c>
    </row>
    <row r="233" spans="1:12" ht="15" x14ac:dyDescent="0.25">
      <c r="A233" s="39" t="s">
        <v>899</v>
      </c>
      <c r="B233" s="46" t="s">
        <v>271</v>
      </c>
      <c r="C233" s="39" t="s">
        <v>465</v>
      </c>
      <c r="D233" s="72">
        <v>995858336</v>
      </c>
      <c r="E233" s="73">
        <v>2525035104</v>
      </c>
      <c r="F233" s="39" t="s">
        <v>247</v>
      </c>
      <c r="G233" s="81">
        <v>40470</v>
      </c>
      <c r="H233" s="105" t="str">
        <f t="shared" si="20"/>
        <v>October</v>
      </c>
      <c r="I233" s="51">
        <f t="shared" ca="1" si="21"/>
        <v>6</v>
      </c>
      <c r="J233" s="52"/>
      <c r="K233" s="53">
        <v>37840</v>
      </c>
      <c r="L233" s="54">
        <v>1</v>
      </c>
    </row>
    <row r="234" spans="1:12" ht="15" x14ac:dyDescent="0.25">
      <c r="A234" s="39" t="s">
        <v>489</v>
      </c>
      <c r="B234" s="46" t="s">
        <v>285</v>
      </c>
      <c r="C234" s="39" t="s">
        <v>465</v>
      </c>
      <c r="D234" s="72">
        <v>589649495</v>
      </c>
      <c r="E234" s="73">
        <v>2524248455</v>
      </c>
      <c r="F234" s="39" t="s">
        <v>256</v>
      </c>
      <c r="G234" s="81">
        <v>36707</v>
      </c>
      <c r="H234" s="105" t="str">
        <f t="shared" si="20"/>
        <v>June</v>
      </c>
      <c r="I234" s="51">
        <f t="shared" ca="1" si="21"/>
        <v>16</v>
      </c>
      <c r="J234" s="52" t="s">
        <v>276</v>
      </c>
      <c r="K234" s="53">
        <v>38870</v>
      </c>
      <c r="L234" s="54">
        <v>2</v>
      </c>
    </row>
    <row r="235" spans="1:12" ht="15" x14ac:dyDescent="0.25">
      <c r="A235" s="39" t="s">
        <v>303</v>
      </c>
      <c r="B235" s="46" t="s">
        <v>251</v>
      </c>
      <c r="C235" s="39" t="s">
        <v>465</v>
      </c>
      <c r="D235" s="72">
        <v>682907379</v>
      </c>
      <c r="E235" s="73">
        <v>2521854525</v>
      </c>
      <c r="F235" s="39" t="s">
        <v>256</v>
      </c>
      <c r="G235" s="81">
        <v>35311</v>
      </c>
      <c r="H235" s="105" t="str">
        <f t="shared" si="20"/>
        <v>September</v>
      </c>
      <c r="I235" s="51">
        <f t="shared" ca="1" si="21"/>
        <v>20</v>
      </c>
      <c r="J235" s="52" t="s">
        <v>267</v>
      </c>
      <c r="K235" s="53">
        <v>39520</v>
      </c>
      <c r="L235" s="54">
        <v>5</v>
      </c>
    </row>
    <row r="236" spans="1:12" ht="15" x14ac:dyDescent="0.25">
      <c r="A236" s="39" t="s">
        <v>507</v>
      </c>
      <c r="B236" s="46" t="s">
        <v>245</v>
      </c>
      <c r="C236" s="39" t="s">
        <v>465</v>
      </c>
      <c r="D236" s="72">
        <v>561968668</v>
      </c>
      <c r="E236" s="73">
        <v>2522433774</v>
      </c>
      <c r="F236" s="39" t="s">
        <v>256</v>
      </c>
      <c r="G236" s="81">
        <v>38809</v>
      </c>
      <c r="H236" s="105" t="str">
        <f t="shared" si="20"/>
        <v>April</v>
      </c>
      <c r="I236" s="51">
        <f t="shared" ca="1" si="21"/>
        <v>10</v>
      </c>
      <c r="J236" s="52" t="s">
        <v>262</v>
      </c>
      <c r="K236" s="53">
        <v>76584</v>
      </c>
      <c r="L236" s="54">
        <v>1</v>
      </c>
    </row>
    <row r="237" spans="1:12" ht="15" x14ac:dyDescent="0.25">
      <c r="A237" s="39" t="s">
        <v>912</v>
      </c>
      <c r="B237" s="46" t="s">
        <v>285</v>
      </c>
      <c r="C237" s="39" t="s">
        <v>465</v>
      </c>
      <c r="D237" s="72">
        <v>798466688</v>
      </c>
      <c r="E237" s="73">
        <v>9192232339</v>
      </c>
      <c r="F237" s="39" t="s">
        <v>256</v>
      </c>
      <c r="G237" s="81">
        <v>40203</v>
      </c>
      <c r="H237" s="105" t="str">
        <f t="shared" si="20"/>
        <v>January</v>
      </c>
      <c r="I237" s="51">
        <f t="shared" ca="1" si="21"/>
        <v>6</v>
      </c>
      <c r="J237" s="52" t="s">
        <v>257</v>
      </c>
      <c r="K237" s="53">
        <v>35600</v>
      </c>
      <c r="L237" s="54">
        <v>5</v>
      </c>
    </row>
    <row r="238" spans="1:12" ht="15" x14ac:dyDescent="0.25">
      <c r="A238" s="39" t="s">
        <v>691</v>
      </c>
      <c r="B238" s="46" t="s">
        <v>271</v>
      </c>
      <c r="C238" s="39" t="s">
        <v>465</v>
      </c>
      <c r="D238" s="72">
        <v>914326052</v>
      </c>
      <c r="E238" s="73">
        <v>2524249228</v>
      </c>
      <c r="F238" s="39" t="s">
        <v>256</v>
      </c>
      <c r="G238" s="81">
        <v>36535</v>
      </c>
      <c r="H238" s="105" t="str">
        <f t="shared" si="20"/>
        <v>January</v>
      </c>
      <c r="I238" s="51">
        <f t="shared" ca="1" si="21"/>
        <v>16</v>
      </c>
      <c r="J238" s="52" t="s">
        <v>257</v>
      </c>
      <c r="K238" s="53">
        <v>76192</v>
      </c>
      <c r="L238" s="54">
        <v>4</v>
      </c>
    </row>
    <row r="239" spans="1:12" ht="15" x14ac:dyDescent="0.25">
      <c r="A239" s="39" t="s">
        <v>878</v>
      </c>
      <c r="B239" s="46" t="s">
        <v>266</v>
      </c>
      <c r="C239" s="39" t="s">
        <v>465</v>
      </c>
      <c r="D239" s="72">
        <v>143534593</v>
      </c>
      <c r="E239" s="73">
        <v>2527172882</v>
      </c>
      <c r="F239" s="39" t="s">
        <v>247</v>
      </c>
      <c r="G239" s="81">
        <v>37820</v>
      </c>
      <c r="H239" s="105" t="str">
        <f t="shared" si="20"/>
        <v>July</v>
      </c>
      <c r="I239" s="51">
        <f t="shared" ca="1" si="21"/>
        <v>13</v>
      </c>
      <c r="J239" s="52"/>
      <c r="K239" s="53">
        <v>75420</v>
      </c>
      <c r="L239" s="54">
        <v>1</v>
      </c>
    </row>
    <row r="240" spans="1:12" ht="15" x14ac:dyDescent="0.25">
      <c r="A240" s="39" t="s">
        <v>293</v>
      </c>
      <c r="B240" s="46" t="s">
        <v>271</v>
      </c>
      <c r="C240" s="39" t="s">
        <v>465</v>
      </c>
      <c r="D240" s="72">
        <v>708108747</v>
      </c>
      <c r="E240" s="73">
        <v>9192520526</v>
      </c>
      <c r="F240" s="39" t="s">
        <v>256</v>
      </c>
      <c r="G240" s="81">
        <v>37943</v>
      </c>
      <c r="H240" s="105" t="str">
        <f t="shared" si="20"/>
        <v>November</v>
      </c>
      <c r="I240" s="51">
        <f t="shared" ca="1" si="21"/>
        <v>12</v>
      </c>
      <c r="J240" s="52" t="s">
        <v>257</v>
      </c>
      <c r="K240" s="53">
        <v>75176</v>
      </c>
      <c r="L240" s="54">
        <v>3</v>
      </c>
    </row>
    <row r="241" spans="1:12" ht="15" x14ac:dyDescent="0.25">
      <c r="A241" s="39" t="s">
        <v>751</v>
      </c>
      <c r="B241" s="46" t="s">
        <v>271</v>
      </c>
      <c r="C241" s="39" t="s">
        <v>465</v>
      </c>
      <c r="D241" s="72">
        <v>470719383</v>
      </c>
      <c r="E241" s="73">
        <v>9197848542</v>
      </c>
      <c r="F241" s="39" t="s">
        <v>256</v>
      </c>
      <c r="G241" s="81">
        <v>36009</v>
      </c>
      <c r="H241" s="105" t="str">
        <f t="shared" si="20"/>
        <v>August</v>
      </c>
      <c r="I241" s="51">
        <f t="shared" ca="1" si="21"/>
        <v>18</v>
      </c>
      <c r="J241" s="52" t="s">
        <v>257</v>
      </c>
      <c r="K241" s="53">
        <v>75120</v>
      </c>
      <c r="L241" s="54">
        <v>5</v>
      </c>
    </row>
    <row r="242" spans="1:12" ht="15" x14ac:dyDescent="0.25">
      <c r="A242" s="39" t="s">
        <v>862</v>
      </c>
      <c r="B242" s="46" t="s">
        <v>285</v>
      </c>
      <c r="C242" s="39" t="s">
        <v>465</v>
      </c>
      <c r="D242" s="72">
        <v>377194926</v>
      </c>
      <c r="E242" s="73">
        <v>9197362525</v>
      </c>
      <c r="F242" s="39" t="s">
        <v>256</v>
      </c>
      <c r="G242" s="103">
        <v>40603</v>
      </c>
      <c r="H242" s="105" t="str">
        <f t="shared" si="20"/>
        <v>March</v>
      </c>
      <c r="I242" s="51">
        <f t="shared" ca="1" si="21"/>
        <v>5</v>
      </c>
      <c r="J242" s="52" t="s">
        <v>267</v>
      </c>
      <c r="K242" s="53">
        <v>44260</v>
      </c>
      <c r="L242" s="54">
        <v>1</v>
      </c>
    </row>
    <row r="243" spans="1:12" ht="15" x14ac:dyDescent="0.25">
      <c r="A243" s="39" t="s">
        <v>550</v>
      </c>
      <c r="B243" s="46" t="s">
        <v>280</v>
      </c>
      <c r="C243" s="39" t="s">
        <v>465</v>
      </c>
      <c r="D243" s="72">
        <v>504914685</v>
      </c>
      <c r="E243" s="73">
        <v>9195250630</v>
      </c>
      <c r="F243" s="39" t="s">
        <v>256</v>
      </c>
      <c r="G243" s="81">
        <v>36084</v>
      </c>
      <c r="H243" s="105" t="str">
        <f t="shared" si="20"/>
        <v>October</v>
      </c>
      <c r="I243" s="51">
        <f t="shared" ca="1" si="21"/>
        <v>18</v>
      </c>
      <c r="J243" s="52" t="s">
        <v>257</v>
      </c>
      <c r="K243" s="53">
        <v>33210</v>
      </c>
      <c r="L243" s="54">
        <v>4</v>
      </c>
    </row>
    <row r="244" spans="1:12" ht="15" x14ac:dyDescent="0.25">
      <c r="A244" s="39" t="s">
        <v>869</v>
      </c>
      <c r="B244" s="46" t="s">
        <v>271</v>
      </c>
      <c r="C244" s="39" t="s">
        <v>465</v>
      </c>
      <c r="D244" s="72">
        <v>820244290</v>
      </c>
      <c r="E244" s="73">
        <v>9194944596</v>
      </c>
      <c r="F244" s="39" t="s">
        <v>247</v>
      </c>
      <c r="G244" s="81">
        <v>33979</v>
      </c>
      <c r="H244" s="105" t="str">
        <f t="shared" si="20"/>
        <v>January</v>
      </c>
      <c r="I244" s="51">
        <f t="shared" ca="1" si="21"/>
        <v>23</v>
      </c>
      <c r="J244" s="52"/>
      <c r="K244" s="53">
        <v>73990</v>
      </c>
      <c r="L244" s="54">
        <v>3</v>
      </c>
    </row>
    <row r="245" spans="1:12" ht="15" x14ac:dyDescent="0.25">
      <c r="A245" s="39" t="s">
        <v>709</v>
      </c>
      <c r="B245" s="46" t="s">
        <v>285</v>
      </c>
      <c r="C245" s="39" t="s">
        <v>465</v>
      </c>
      <c r="D245" s="72">
        <v>243062914</v>
      </c>
      <c r="E245" s="73">
        <v>9194018412</v>
      </c>
      <c r="F245" s="39" t="s">
        <v>256</v>
      </c>
      <c r="G245" s="81">
        <v>35199</v>
      </c>
      <c r="H245" s="105" t="str">
        <f t="shared" si="20"/>
        <v>May</v>
      </c>
      <c r="I245" s="51">
        <f t="shared" ca="1" si="21"/>
        <v>20</v>
      </c>
      <c r="J245" s="52" t="s">
        <v>257</v>
      </c>
      <c r="K245" s="53">
        <v>73450</v>
      </c>
      <c r="L245" s="54">
        <v>3</v>
      </c>
    </row>
    <row r="246" spans="1:12" ht="15" x14ac:dyDescent="0.25">
      <c r="A246" s="39" t="s">
        <v>789</v>
      </c>
      <c r="B246" s="46" t="s">
        <v>271</v>
      </c>
      <c r="C246" s="39" t="s">
        <v>465</v>
      </c>
      <c r="D246" s="72">
        <v>506577536</v>
      </c>
      <c r="E246" s="73">
        <v>2524999647</v>
      </c>
      <c r="F246" s="39" t="s">
        <v>252</v>
      </c>
      <c r="G246" s="81">
        <v>36305</v>
      </c>
      <c r="H246" s="105" t="str">
        <f t="shared" si="20"/>
        <v>May</v>
      </c>
      <c r="I246" s="51">
        <f t="shared" ca="1" si="21"/>
        <v>17</v>
      </c>
      <c r="J246" s="52"/>
      <c r="K246" s="53">
        <v>9424</v>
      </c>
      <c r="L246" s="54">
        <v>4</v>
      </c>
    </row>
    <row r="247" spans="1:12" ht="15" x14ac:dyDescent="0.25">
      <c r="A247" s="39" t="s">
        <v>652</v>
      </c>
      <c r="B247" s="46" t="s">
        <v>245</v>
      </c>
      <c r="C247" s="39" t="s">
        <v>465</v>
      </c>
      <c r="D247" s="72">
        <v>488831244</v>
      </c>
      <c r="E247" s="73">
        <v>9198979762</v>
      </c>
      <c r="F247" s="39" t="s">
        <v>261</v>
      </c>
      <c r="G247" s="81">
        <v>37620</v>
      </c>
      <c r="H247" s="105" t="str">
        <f t="shared" si="20"/>
        <v>December</v>
      </c>
      <c r="I247" s="51">
        <f t="shared" ca="1" si="21"/>
        <v>13</v>
      </c>
      <c r="J247" s="52" t="s">
        <v>257</v>
      </c>
      <c r="K247" s="53">
        <v>24460</v>
      </c>
      <c r="L247" s="54">
        <v>1</v>
      </c>
    </row>
    <row r="248" spans="1:12" ht="15" x14ac:dyDescent="0.25">
      <c r="A248" s="39" t="s">
        <v>585</v>
      </c>
      <c r="B248" s="46" t="s">
        <v>245</v>
      </c>
      <c r="C248" s="39" t="s">
        <v>465</v>
      </c>
      <c r="D248" s="72">
        <v>612295735</v>
      </c>
      <c r="E248" s="73">
        <v>9195228292</v>
      </c>
      <c r="F248" s="39" t="s">
        <v>256</v>
      </c>
      <c r="G248" s="81">
        <v>35511</v>
      </c>
      <c r="H248" s="105" t="str">
        <f t="shared" si="20"/>
        <v>March</v>
      </c>
      <c r="I248" s="51">
        <f t="shared" ca="1" si="21"/>
        <v>19</v>
      </c>
      <c r="J248" s="52" t="s">
        <v>283</v>
      </c>
      <c r="K248" s="53">
        <v>73144</v>
      </c>
      <c r="L248" s="54">
        <v>5</v>
      </c>
    </row>
    <row r="249" spans="1:12" ht="15" x14ac:dyDescent="0.25">
      <c r="A249" s="39" t="s">
        <v>640</v>
      </c>
      <c r="B249" s="46" t="s">
        <v>285</v>
      </c>
      <c r="C249" s="39" t="s">
        <v>465</v>
      </c>
      <c r="D249" s="72">
        <v>561737107</v>
      </c>
      <c r="E249" s="73">
        <v>9198294156</v>
      </c>
      <c r="F249" s="39" t="s">
        <v>256</v>
      </c>
      <c r="G249" s="81">
        <v>35024</v>
      </c>
      <c r="H249" s="105" t="str">
        <f t="shared" si="20"/>
        <v>November</v>
      </c>
      <c r="I249" s="51">
        <f t="shared" ca="1" si="21"/>
        <v>20</v>
      </c>
      <c r="J249" s="52" t="s">
        <v>283</v>
      </c>
      <c r="K249" s="53">
        <v>73072</v>
      </c>
      <c r="L249" s="54">
        <v>5</v>
      </c>
    </row>
    <row r="250" spans="1:12" ht="15" x14ac:dyDescent="0.25">
      <c r="A250" s="39" t="s">
        <v>623</v>
      </c>
      <c r="B250" s="46" t="s">
        <v>245</v>
      </c>
      <c r="C250" s="39" t="s">
        <v>465</v>
      </c>
      <c r="D250" s="72">
        <v>466947318</v>
      </c>
      <c r="E250" s="73">
        <v>9191765611</v>
      </c>
      <c r="F250" s="39" t="s">
        <v>256</v>
      </c>
      <c r="G250" s="81">
        <v>40578</v>
      </c>
      <c r="H250" s="105" t="str">
        <f t="shared" si="20"/>
        <v>February</v>
      </c>
      <c r="I250" s="51">
        <f t="shared" ca="1" si="21"/>
        <v>5</v>
      </c>
      <c r="J250" s="52" t="s">
        <v>257</v>
      </c>
      <c r="K250" s="53">
        <v>43820</v>
      </c>
      <c r="L250" s="54">
        <v>2</v>
      </c>
    </row>
    <row r="251" spans="1:12" ht="15" x14ac:dyDescent="0.25">
      <c r="A251" s="39" t="s">
        <v>804</v>
      </c>
      <c r="B251" s="46" t="s">
        <v>285</v>
      </c>
      <c r="C251" s="39" t="s">
        <v>465</v>
      </c>
      <c r="D251" s="72">
        <v>542653222</v>
      </c>
      <c r="E251" s="73">
        <v>9193708610</v>
      </c>
      <c r="F251" s="39" t="s">
        <v>247</v>
      </c>
      <c r="G251" s="81">
        <v>35997</v>
      </c>
      <c r="H251" s="105" t="str">
        <f t="shared" si="20"/>
        <v>July</v>
      </c>
      <c r="I251" s="51">
        <f t="shared" ca="1" si="21"/>
        <v>18</v>
      </c>
      <c r="J251" s="52"/>
      <c r="K251" s="53">
        <v>72520</v>
      </c>
      <c r="L251" s="54">
        <v>3</v>
      </c>
    </row>
    <row r="252" spans="1:12" ht="15" x14ac:dyDescent="0.25">
      <c r="A252" s="39" t="s">
        <v>304</v>
      </c>
      <c r="B252" s="46" t="s">
        <v>280</v>
      </c>
      <c r="C252" s="39" t="s">
        <v>465</v>
      </c>
      <c r="D252" s="72">
        <v>366740174</v>
      </c>
      <c r="E252" s="73">
        <v>2521549933</v>
      </c>
      <c r="F252" s="39" t="s">
        <v>252</v>
      </c>
      <c r="G252" s="81">
        <v>34165</v>
      </c>
      <c r="H252" s="105" t="str">
        <f t="shared" si="20"/>
        <v>July</v>
      </c>
      <c r="I252" s="51">
        <f t="shared" ca="1" si="21"/>
        <v>23</v>
      </c>
      <c r="J252" s="52"/>
      <c r="K252" s="53">
        <v>30416</v>
      </c>
      <c r="L252" s="54">
        <v>1</v>
      </c>
    </row>
    <row r="253" spans="1:12" ht="15" x14ac:dyDescent="0.25">
      <c r="A253" s="39" t="s">
        <v>1010</v>
      </c>
      <c r="B253" s="46" t="s">
        <v>245</v>
      </c>
      <c r="C253" s="39" t="s">
        <v>465</v>
      </c>
      <c r="D253" s="72">
        <v>661850671</v>
      </c>
      <c r="E253" s="73">
        <v>2528405900</v>
      </c>
      <c r="F253" s="39" t="s">
        <v>252</v>
      </c>
      <c r="G253" s="81">
        <v>35829</v>
      </c>
      <c r="H253" s="105" t="str">
        <f t="shared" si="20"/>
        <v>February</v>
      </c>
      <c r="I253" s="51">
        <f t="shared" ca="1" si="21"/>
        <v>18</v>
      </c>
      <c r="J253" s="52"/>
      <c r="K253" s="53">
        <v>29176</v>
      </c>
      <c r="L253" s="54">
        <v>3</v>
      </c>
    </row>
    <row r="254" spans="1:12" ht="15" x14ac:dyDescent="0.25">
      <c r="A254" s="39" t="s">
        <v>988</v>
      </c>
      <c r="B254" s="46" t="s">
        <v>245</v>
      </c>
      <c r="C254" s="39" t="s">
        <v>465</v>
      </c>
      <c r="D254" s="72">
        <v>361925033</v>
      </c>
      <c r="E254" s="73">
        <v>9196633751</v>
      </c>
      <c r="F254" s="39" t="s">
        <v>247</v>
      </c>
      <c r="G254" s="81">
        <v>38289</v>
      </c>
      <c r="H254" s="105" t="str">
        <f t="shared" si="20"/>
        <v>October</v>
      </c>
      <c r="I254" s="51">
        <f t="shared" ca="1" si="21"/>
        <v>12</v>
      </c>
      <c r="J254" s="52"/>
      <c r="K254" s="53">
        <v>71830</v>
      </c>
      <c r="L254" s="54">
        <v>3</v>
      </c>
    </row>
    <row r="255" spans="1:12" ht="15" x14ac:dyDescent="0.25">
      <c r="A255" s="39" t="s">
        <v>890</v>
      </c>
      <c r="B255" s="46" t="s">
        <v>285</v>
      </c>
      <c r="C255" s="39" t="s">
        <v>465</v>
      </c>
      <c r="D255" s="72">
        <v>725801036</v>
      </c>
      <c r="E255" s="73">
        <v>9195089157</v>
      </c>
      <c r="F255" s="39" t="s">
        <v>247</v>
      </c>
      <c r="G255" s="81">
        <v>35972</v>
      </c>
      <c r="H255" s="105" t="str">
        <f t="shared" si="20"/>
        <v>June</v>
      </c>
      <c r="I255" s="51">
        <f t="shared" ca="1" si="21"/>
        <v>18</v>
      </c>
      <c r="J255" s="52"/>
      <c r="K255" s="53">
        <v>71710</v>
      </c>
      <c r="L255" s="54">
        <v>5</v>
      </c>
    </row>
    <row r="256" spans="1:12" ht="15" x14ac:dyDescent="0.25">
      <c r="A256" s="39" t="s">
        <v>634</v>
      </c>
      <c r="B256" s="46" t="s">
        <v>271</v>
      </c>
      <c r="C256" s="39" t="s">
        <v>465</v>
      </c>
      <c r="D256" s="72">
        <v>930314379</v>
      </c>
      <c r="E256" s="73">
        <v>2524854867</v>
      </c>
      <c r="F256" s="39" t="s">
        <v>256</v>
      </c>
      <c r="G256" s="81">
        <v>39390</v>
      </c>
      <c r="H256" s="105" t="str">
        <f t="shared" si="20"/>
        <v>November</v>
      </c>
      <c r="I256" s="51">
        <f t="shared" ca="1" si="21"/>
        <v>9</v>
      </c>
      <c r="J256" s="52" t="s">
        <v>267</v>
      </c>
      <c r="K256" s="53">
        <v>71490</v>
      </c>
      <c r="L256" s="54">
        <v>5</v>
      </c>
    </row>
    <row r="257" spans="1:12" ht="15" x14ac:dyDescent="0.25">
      <c r="A257" s="39" t="s">
        <v>587</v>
      </c>
      <c r="B257" s="46" t="s">
        <v>245</v>
      </c>
      <c r="C257" s="39" t="s">
        <v>465</v>
      </c>
      <c r="D257" s="72">
        <v>354619285</v>
      </c>
      <c r="E257" s="73">
        <v>2526657361</v>
      </c>
      <c r="F257" s="39" t="s">
        <v>256</v>
      </c>
      <c r="G257" s="81">
        <v>36122</v>
      </c>
      <c r="H257" s="105" t="str">
        <f t="shared" si="20"/>
        <v>November</v>
      </c>
      <c r="I257" s="51">
        <f t="shared" ca="1" si="21"/>
        <v>17</v>
      </c>
      <c r="J257" s="52" t="s">
        <v>262</v>
      </c>
      <c r="K257" s="53">
        <v>22660</v>
      </c>
      <c r="L257" s="54">
        <v>2</v>
      </c>
    </row>
    <row r="258" spans="1:12" ht="15" x14ac:dyDescent="0.25">
      <c r="A258" s="39" t="s">
        <v>315</v>
      </c>
      <c r="B258" s="46" t="s">
        <v>266</v>
      </c>
      <c r="C258" s="39" t="s">
        <v>465</v>
      </c>
      <c r="D258" s="72">
        <v>858800513</v>
      </c>
      <c r="E258" s="73">
        <v>9193547588</v>
      </c>
      <c r="F258" s="39" t="s">
        <v>256</v>
      </c>
      <c r="G258" s="81">
        <v>39312</v>
      </c>
      <c r="H258" s="105" t="str">
        <f t="shared" si="20"/>
        <v>August</v>
      </c>
      <c r="I258" s="51">
        <f t="shared" ca="1" si="21"/>
        <v>9</v>
      </c>
      <c r="J258" s="52" t="s">
        <v>262</v>
      </c>
      <c r="K258" s="53">
        <v>71030</v>
      </c>
      <c r="L258" s="54">
        <v>3</v>
      </c>
    </row>
    <row r="259" spans="1:12" ht="15" x14ac:dyDescent="0.25">
      <c r="A259" s="39" t="s">
        <v>510</v>
      </c>
      <c r="B259" s="46" t="s">
        <v>266</v>
      </c>
      <c r="C259" s="39" t="s">
        <v>465</v>
      </c>
      <c r="D259" s="72">
        <v>590896401</v>
      </c>
      <c r="E259" s="73">
        <v>2523122603</v>
      </c>
      <c r="F259" s="39" t="s">
        <v>256</v>
      </c>
      <c r="G259" s="81">
        <v>38321</v>
      </c>
      <c r="H259" s="105" t="str">
        <f t="shared" ref="H259:H290" si="22">CHOOSE(MONTH(G259),"January","February","March","April","May","June","July","August","September","October","November","December")</f>
        <v>November</v>
      </c>
      <c r="I259" s="51">
        <f t="shared" ref="I259:I290" ca="1" si="23">DATEDIF(G259,TODAY(),"Y")</f>
        <v>11</v>
      </c>
      <c r="J259" s="52" t="s">
        <v>262</v>
      </c>
      <c r="K259" s="53">
        <v>70760</v>
      </c>
      <c r="L259" s="54">
        <v>1</v>
      </c>
    </row>
    <row r="260" spans="1:12" ht="15" x14ac:dyDescent="0.25">
      <c r="A260" s="39" t="s">
        <v>742</v>
      </c>
      <c r="B260" s="46" t="s">
        <v>245</v>
      </c>
      <c r="C260" s="39" t="s">
        <v>465</v>
      </c>
      <c r="D260" s="72">
        <v>136620388</v>
      </c>
      <c r="E260" s="73">
        <v>9195119214</v>
      </c>
      <c r="F260" s="39" t="s">
        <v>256</v>
      </c>
      <c r="G260" s="81">
        <v>35714</v>
      </c>
      <c r="H260" s="105" t="str">
        <f t="shared" si="22"/>
        <v>October</v>
      </c>
      <c r="I260" s="51">
        <f t="shared" ca="1" si="23"/>
        <v>19</v>
      </c>
      <c r="J260" s="52" t="s">
        <v>262</v>
      </c>
      <c r="K260" s="53">
        <v>70020</v>
      </c>
      <c r="L260" s="54">
        <v>3</v>
      </c>
    </row>
    <row r="261" spans="1:12" ht="15" x14ac:dyDescent="0.25">
      <c r="A261" s="39" t="s">
        <v>450</v>
      </c>
      <c r="B261" s="46" t="s">
        <v>251</v>
      </c>
      <c r="C261" s="39" t="s">
        <v>465</v>
      </c>
      <c r="D261" s="72">
        <v>624234626</v>
      </c>
      <c r="E261" s="73">
        <v>2523077504</v>
      </c>
      <c r="F261" s="39" t="s">
        <v>261</v>
      </c>
      <c r="G261" s="81">
        <v>35343</v>
      </c>
      <c r="H261" s="105" t="str">
        <f t="shared" si="22"/>
        <v>October</v>
      </c>
      <c r="I261" s="51">
        <f t="shared" ca="1" si="23"/>
        <v>20</v>
      </c>
      <c r="J261" s="52" t="s">
        <v>257</v>
      </c>
      <c r="K261" s="53">
        <v>46645</v>
      </c>
      <c r="L261" s="54">
        <v>5</v>
      </c>
    </row>
    <row r="262" spans="1:12" ht="15" x14ac:dyDescent="0.25">
      <c r="A262" s="39" t="s">
        <v>879</v>
      </c>
      <c r="B262" s="46" t="s">
        <v>271</v>
      </c>
      <c r="C262" s="39" t="s">
        <v>465</v>
      </c>
      <c r="D262" s="72">
        <v>384454025</v>
      </c>
      <c r="E262" s="73">
        <v>2522064219</v>
      </c>
      <c r="F262" s="39" t="s">
        <v>247</v>
      </c>
      <c r="G262" s="81">
        <v>36455</v>
      </c>
      <c r="H262" s="105" t="str">
        <f t="shared" si="22"/>
        <v>October</v>
      </c>
      <c r="I262" s="51">
        <f t="shared" ca="1" si="23"/>
        <v>17</v>
      </c>
      <c r="J262" s="52"/>
      <c r="K262" s="53">
        <v>23810</v>
      </c>
      <c r="L262" s="54">
        <v>4</v>
      </c>
    </row>
    <row r="263" spans="1:12" ht="15" x14ac:dyDescent="0.25">
      <c r="A263" s="39" t="s">
        <v>958</v>
      </c>
      <c r="B263" s="46" t="s">
        <v>271</v>
      </c>
      <c r="C263" s="39" t="s">
        <v>465</v>
      </c>
      <c r="D263" s="72">
        <v>415299442</v>
      </c>
      <c r="E263" s="73">
        <v>2521408985</v>
      </c>
      <c r="F263" s="39" t="s">
        <v>256</v>
      </c>
      <c r="G263" s="81">
        <v>39696</v>
      </c>
      <c r="H263" s="105" t="str">
        <f t="shared" si="22"/>
        <v>September</v>
      </c>
      <c r="I263" s="51">
        <f t="shared" ca="1" si="23"/>
        <v>8</v>
      </c>
      <c r="J263" s="52" t="s">
        <v>257</v>
      </c>
      <c r="K263" s="53">
        <v>69320</v>
      </c>
      <c r="L263" s="54">
        <v>3</v>
      </c>
    </row>
    <row r="264" spans="1:12" ht="15" x14ac:dyDescent="0.25">
      <c r="A264" s="39" t="s">
        <v>1000</v>
      </c>
      <c r="B264" s="46" t="s">
        <v>271</v>
      </c>
      <c r="C264" s="39" t="s">
        <v>465</v>
      </c>
      <c r="D264" s="72">
        <v>468053610</v>
      </c>
      <c r="E264" s="73">
        <v>2525344270</v>
      </c>
      <c r="F264" s="39" t="s">
        <v>256</v>
      </c>
      <c r="G264" s="81">
        <v>37509</v>
      </c>
      <c r="H264" s="105" t="str">
        <f t="shared" si="22"/>
        <v>September</v>
      </c>
      <c r="I264" s="51">
        <f t="shared" ca="1" si="23"/>
        <v>14</v>
      </c>
      <c r="J264" s="52" t="s">
        <v>283</v>
      </c>
      <c r="K264" s="53">
        <v>69080</v>
      </c>
      <c r="L264" s="54">
        <v>3</v>
      </c>
    </row>
    <row r="265" spans="1:12" ht="15" x14ac:dyDescent="0.25">
      <c r="A265" s="39" t="s">
        <v>749</v>
      </c>
      <c r="B265" s="46" t="s">
        <v>280</v>
      </c>
      <c r="C265" s="39" t="s">
        <v>465</v>
      </c>
      <c r="D265" s="72">
        <v>993383806</v>
      </c>
      <c r="E265" s="73">
        <v>2521810581</v>
      </c>
      <c r="F265" s="39" t="s">
        <v>252</v>
      </c>
      <c r="G265" s="81">
        <v>36067</v>
      </c>
      <c r="H265" s="105" t="str">
        <f t="shared" si="22"/>
        <v>September</v>
      </c>
      <c r="I265" s="51">
        <f t="shared" ca="1" si="23"/>
        <v>18</v>
      </c>
      <c r="J265" s="52"/>
      <c r="K265" s="53">
        <v>37612</v>
      </c>
      <c r="L265" s="54">
        <v>4</v>
      </c>
    </row>
    <row r="266" spans="1:12" ht="15" x14ac:dyDescent="0.25">
      <c r="A266" s="39" t="s">
        <v>654</v>
      </c>
      <c r="B266" s="46" t="s">
        <v>245</v>
      </c>
      <c r="C266" s="39" t="s">
        <v>465</v>
      </c>
      <c r="D266" s="72">
        <v>328787467</v>
      </c>
      <c r="E266" s="73">
        <v>9194897618</v>
      </c>
      <c r="F266" s="39" t="s">
        <v>252</v>
      </c>
      <c r="G266" s="81">
        <v>39087</v>
      </c>
      <c r="H266" s="105" t="str">
        <f t="shared" si="22"/>
        <v>January</v>
      </c>
      <c r="I266" s="51">
        <f t="shared" ca="1" si="23"/>
        <v>9</v>
      </c>
      <c r="J266" s="52"/>
      <c r="K266" s="53">
        <v>14416</v>
      </c>
      <c r="L266" s="54">
        <v>4</v>
      </c>
    </row>
    <row r="267" spans="1:12" ht="15" x14ac:dyDescent="0.25">
      <c r="A267" s="39" t="s">
        <v>665</v>
      </c>
      <c r="B267" s="46" t="s">
        <v>280</v>
      </c>
      <c r="C267" s="39" t="s">
        <v>465</v>
      </c>
      <c r="D267" s="72">
        <v>177332873</v>
      </c>
      <c r="E267" s="73">
        <v>9195915044</v>
      </c>
      <c r="F267" s="39" t="s">
        <v>256</v>
      </c>
      <c r="G267" s="81">
        <v>36413</v>
      </c>
      <c r="H267" s="105" t="str">
        <f t="shared" si="22"/>
        <v>September</v>
      </c>
      <c r="I267" s="51">
        <f t="shared" ca="1" si="23"/>
        <v>17</v>
      </c>
      <c r="J267" s="52" t="s">
        <v>257</v>
      </c>
      <c r="K267" s="53">
        <v>40060</v>
      </c>
      <c r="L267" s="54">
        <v>3</v>
      </c>
    </row>
    <row r="268" spans="1:12" ht="15" x14ac:dyDescent="0.25">
      <c r="A268" s="39" t="s">
        <v>885</v>
      </c>
      <c r="B268" s="46" t="s">
        <v>285</v>
      </c>
      <c r="C268" s="39" t="s">
        <v>465</v>
      </c>
      <c r="D268" s="72">
        <v>475517002</v>
      </c>
      <c r="E268" s="73">
        <v>2523909820</v>
      </c>
      <c r="F268" s="39" t="s">
        <v>256</v>
      </c>
      <c r="G268" s="81">
        <v>36318</v>
      </c>
      <c r="H268" s="105" t="str">
        <f t="shared" si="22"/>
        <v>June</v>
      </c>
      <c r="I268" s="51">
        <f t="shared" ca="1" si="23"/>
        <v>17</v>
      </c>
      <c r="J268" s="52" t="s">
        <v>283</v>
      </c>
      <c r="K268" s="53">
        <v>68750</v>
      </c>
      <c r="L268" s="54">
        <v>1</v>
      </c>
    </row>
    <row r="269" spans="1:12" ht="15" x14ac:dyDescent="0.25">
      <c r="A269" s="39" t="s">
        <v>1029</v>
      </c>
      <c r="B269" s="46" t="s">
        <v>285</v>
      </c>
      <c r="C269" s="39" t="s">
        <v>465</v>
      </c>
      <c r="D269" s="72">
        <v>378281658</v>
      </c>
      <c r="E269" s="73">
        <v>9196705508</v>
      </c>
      <c r="F269" s="39" t="s">
        <v>247</v>
      </c>
      <c r="G269" s="81">
        <v>38073</v>
      </c>
      <c r="H269" s="105" t="str">
        <f t="shared" si="22"/>
        <v>March</v>
      </c>
      <c r="I269" s="51">
        <f t="shared" ca="1" si="23"/>
        <v>12</v>
      </c>
      <c r="J269" s="52"/>
      <c r="K269" s="53">
        <v>39300</v>
      </c>
      <c r="L269" s="54">
        <v>2</v>
      </c>
    </row>
    <row r="270" spans="1:12" ht="15" x14ac:dyDescent="0.25">
      <c r="A270" s="39" t="s">
        <v>748</v>
      </c>
      <c r="B270" s="46" t="s">
        <v>245</v>
      </c>
      <c r="C270" s="39" t="s">
        <v>465</v>
      </c>
      <c r="D270" s="72">
        <v>405396173</v>
      </c>
      <c r="E270" s="73">
        <v>2521777060</v>
      </c>
      <c r="F270" s="39" t="s">
        <v>256</v>
      </c>
      <c r="G270" s="81">
        <v>38733</v>
      </c>
      <c r="H270" s="105" t="str">
        <f t="shared" si="22"/>
        <v>January</v>
      </c>
      <c r="I270" s="51">
        <f t="shared" ca="1" si="23"/>
        <v>10</v>
      </c>
      <c r="J270" s="52" t="s">
        <v>276</v>
      </c>
      <c r="K270" s="53">
        <v>68710</v>
      </c>
      <c r="L270" s="54">
        <v>4</v>
      </c>
    </row>
    <row r="271" spans="1:12" ht="15" x14ac:dyDescent="0.25">
      <c r="A271" s="39" t="s">
        <v>1012</v>
      </c>
      <c r="B271" s="46" t="s">
        <v>285</v>
      </c>
      <c r="C271" s="39" t="s">
        <v>465</v>
      </c>
      <c r="D271" s="72">
        <v>635767088</v>
      </c>
      <c r="E271" s="73">
        <v>2522153322</v>
      </c>
      <c r="F271" s="39" t="s">
        <v>247</v>
      </c>
      <c r="G271" s="81">
        <v>36977</v>
      </c>
      <c r="H271" s="105" t="str">
        <f t="shared" si="22"/>
        <v>March</v>
      </c>
      <c r="I271" s="51">
        <f t="shared" ca="1" si="23"/>
        <v>15</v>
      </c>
      <c r="J271" s="52"/>
      <c r="K271" s="53">
        <v>68510</v>
      </c>
      <c r="L271" s="54">
        <v>5</v>
      </c>
    </row>
    <row r="272" spans="1:12" ht="15" x14ac:dyDescent="0.25">
      <c r="A272" s="39" t="s">
        <v>681</v>
      </c>
      <c r="B272" s="46" t="s">
        <v>285</v>
      </c>
      <c r="C272" s="39" t="s">
        <v>465</v>
      </c>
      <c r="D272" s="72">
        <v>337943008</v>
      </c>
      <c r="E272" s="73">
        <v>2521257896</v>
      </c>
      <c r="F272" s="39" t="s">
        <v>256</v>
      </c>
      <c r="G272" s="81">
        <v>37394</v>
      </c>
      <c r="H272" s="105" t="str">
        <f t="shared" si="22"/>
        <v>May</v>
      </c>
      <c r="I272" s="51">
        <f t="shared" ca="1" si="23"/>
        <v>14</v>
      </c>
      <c r="J272" s="52" t="s">
        <v>257</v>
      </c>
      <c r="K272" s="53">
        <v>28970</v>
      </c>
      <c r="L272" s="54">
        <v>3</v>
      </c>
    </row>
    <row r="273" spans="1:12" ht="15" x14ac:dyDescent="0.25">
      <c r="A273" s="39" t="s">
        <v>502</v>
      </c>
      <c r="B273" s="46" t="s">
        <v>271</v>
      </c>
      <c r="C273" s="39" t="s">
        <v>465</v>
      </c>
      <c r="D273" s="72">
        <v>332289257</v>
      </c>
      <c r="E273" s="73">
        <v>9198367725</v>
      </c>
      <c r="F273" s="39" t="s">
        <v>247</v>
      </c>
      <c r="G273" s="81">
        <v>35992</v>
      </c>
      <c r="H273" s="105" t="str">
        <f t="shared" si="22"/>
        <v>July</v>
      </c>
      <c r="I273" s="51">
        <f t="shared" ca="1" si="23"/>
        <v>18</v>
      </c>
      <c r="J273" s="52"/>
      <c r="K273" s="53">
        <v>68260</v>
      </c>
      <c r="L273" s="54">
        <v>5</v>
      </c>
    </row>
    <row r="274" spans="1:12" ht="15" x14ac:dyDescent="0.25">
      <c r="A274" s="39" t="s">
        <v>538</v>
      </c>
      <c r="B274" s="46" t="s">
        <v>280</v>
      </c>
      <c r="C274" s="39" t="s">
        <v>465</v>
      </c>
      <c r="D274" s="72">
        <v>647552282</v>
      </c>
      <c r="E274" s="73">
        <v>9193392642</v>
      </c>
      <c r="F274" s="39" t="s">
        <v>247</v>
      </c>
      <c r="G274" s="81">
        <v>34265</v>
      </c>
      <c r="H274" s="105" t="str">
        <f t="shared" si="22"/>
        <v>October</v>
      </c>
      <c r="I274" s="51">
        <f t="shared" ca="1" si="23"/>
        <v>23</v>
      </c>
      <c r="J274" s="52"/>
      <c r="K274" s="53">
        <v>35460</v>
      </c>
      <c r="L274" s="54">
        <v>3</v>
      </c>
    </row>
    <row r="275" spans="1:12" ht="15" x14ac:dyDescent="0.25">
      <c r="A275" s="39" t="s">
        <v>687</v>
      </c>
      <c r="B275" s="46" t="s">
        <v>245</v>
      </c>
      <c r="C275" s="39" t="s">
        <v>465</v>
      </c>
      <c r="D275" s="72">
        <v>772163640</v>
      </c>
      <c r="E275" s="73">
        <v>9192474315</v>
      </c>
      <c r="F275" s="39" t="s">
        <v>256</v>
      </c>
      <c r="G275" s="81">
        <v>36444</v>
      </c>
      <c r="H275" s="105" t="str">
        <f t="shared" si="22"/>
        <v>October</v>
      </c>
      <c r="I275" s="51">
        <f t="shared" ca="1" si="23"/>
        <v>17</v>
      </c>
      <c r="J275" s="52" t="s">
        <v>257</v>
      </c>
      <c r="K275" s="53">
        <v>67280</v>
      </c>
      <c r="L275" s="54">
        <v>3</v>
      </c>
    </row>
    <row r="276" spans="1:12" ht="15" x14ac:dyDescent="0.25">
      <c r="A276" s="39" t="s">
        <v>669</v>
      </c>
      <c r="B276" s="46" t="s">
        <v>285</v>
      </c>
      <c r="C276" s="39" t="s">
        <v>465</v>
      </c>
      <c r="D276" s="72">
        <v>565952209</v>
      </c>
      <c r="E276" s="73">
        <v>2522889972</v>
      </c>
      <c r="F276" s="39" t="s">
        <v>256</v>
      </c>
      <c r="G276" s="81">
        <v>34971</v>
      </c>
      <c r="H276" s="105" t="str">
        <f t="shared" si="22"/>
        <v>September</v>
      </c>
      <c r="I276" s="51">
        <f t="shared" ca="1" si="23"/>
        <v>21</v>
      </c>
      <c r="J276" s="52" t="s">
        <v>283</v>
      </c>
      <c r="K276" s="53">
        <v>67050</v>
      </c>
      <c r="L276" s="54">
        <v>4</v>
      </c>
    </row>
    <row r="277" spans="1:12" ht="15" x14ac:dyDescent="0.25">
      <c r="A277" s="45" t="s">
        <v>279</v>
      </c>
      <c r="B277" s="46" t="s">
        <v>285</v>
      </c>
      <c r="C277" s="39" t="s">
        <v>465</v>
      </c>
      <c r="D277" s="72">
        <v>597131266</v>
      </c>
      <c r="E277" s="73">
        <v>9195043141</v>
      </c>
      <c r="F277" s="39" t="s">
        <v>256</v>
      </c>
      <c r="G277" s="81">
        <v>35703</v>
      </c>
      <c r="H277" s="105" t="str">
        <f t="shared" si="22"/>
        <v>September</v>
      </c>
      <c r="I277" s="51">
        <f t="shared" ca="1" si="23"/>
        <v>19</v>
      </c>
      <c r="J277" s="52" t="s">
        <v>262</v>
      </c>
      <c r="K277" s="53">
        <v>66430</v>
      </c>
      <c r="L277" s="54">
        <v>2</v>
      </c>
    </row>
    <row r="278" spans="1:12" ht="15" x14ac:dyDescent="0.25">
      <c r="A278" s="39" t="s">
        <v>962</v>
      </c>
      <c r="B278" s="46" t="s">
        <v>285</v>
      </c>
      <c r="C278" s="39" t="s">
        <v>465</v>
      </c>
      <c r="D278" s="72">
        <v>894030119</v>
      </c>
      <c r="E278" s="73">
        <v>2528652588</v>
      </c>
      <c r="F278" s="39" t="s">
        <v>256</v>
      </c>
      <c r="G278" s="81">
        <v>37068</v>
      </c>
      <c r="H278" s="105" t="str">
        <f t="shared" si="22"/>
        <v>June</v>
      </c>
      <c r="I278" s="51">
        <f t="shared" ca="1" si="23"/>
        <v>15</v>
      </c>
      <c r="J278" s="52" t="s">
        <v>262</v>
      </c>
      <c r="K278" s="53">
        <v>66010</v>
      </c>
      <c r="L278" s="54">
        <v>5</v>
      </c>
    </row>
    <row r="279" spans="1:12" ht="15" x14ac:dyDescent="0.25">
      <c r="A279" s="39" t="s">
        <v>628</v>
      </c>
      <c r="B279" s="46" t="s">
        <v>271</v>
      </c>
      <c r="C279" s="39" t="s">
        <v>465</v>
      </c>
      <c r="D279" s="72">
        <v>687006783</v>
      </c>
      <c r="E279" s="73">
        <v>2524919418</v>
      </c>
      <c r="F279" s="39" t="s">
        <v>247</v>
      </c>
      <c r="G279" s="81">
        <v>35379</v>
      </c>
      <c r="H279" s="105" t="str">
        <f t="shared" si="22"/>
        <v>November</v>
      </c>
      <c r="I279" s="51">
        <f t="shared" ca="1" si="23"/>
        <v>20</v>
      </c>
      <c r="J279" s="52"/>
      <c r="K279" s="53">
        <v>66010</v>
      </c>
      <c r="L279" s="54">
        <v>2</v>
      </c>
    </row>
    <row r="280" spans="1:12" ht="15" x14ac:dyDescent="0.25">
      <c r="A280" s="39" t="s">
        <v>401</v>
      </c>
      <c r="B280" s="46" t="s">
        <v>285</v>
      </c>
      <c r="C280" s="39" t="s">
        <v>465</v>
      </c>
      <c r="D280" s="72">
        <v>914330398</v>
      </c>
      <c r="E280" s="73">
        <v>9193498222</v>
      </c>
      <c r="F280" s="39" t="s">
        <v>256</v>
      </c>
      <c r="G280" s="81">
        <v>38821</v>
      </c>
      <c r="H280" s="105" t="str">
        <f t="shared" si="22"/>
        <v>April</v>
      </c>
      <c r="I280" s="51">
        <f t="shared" ca="1" si="23"/>
        <v>10</v>
      </c>
      <c r="J280" s="52" t="s">
        <v>283</v>
      </c>
      <c r="K280" s="53">
        <v>65720</v>
      </c>
      <c r="L280" s="54">
        <v>1</v>
      </c>
    </row>
    <row r="281" spans="1:12" ht="15" x14ac:dyDescent="0.25">
      <c r="A281" s="39" t="s">
        <v>782</v>
      </c>
      <c r="B281" s="46" t="s">
        <v>271</v>
      </c>
      <c r="C281" s="39" t="s">
        <v>465</v>
      </c>
      <c r="D281" s="72">
        <v>387517948</v>
      </c>
      <c r="E281" s="73">
        <v>9198213594</v>
      </c>
      <c r="F281" s="39" t="s">
        <v>256</v>
      </c>
      <c r="G281" s="81">
        <v>40634</v>
      </c>
      <c r="H281" s="105" t="str">
        <f t="shared" si="22"/>
        <v>April</v>
      </c>
      <c r="I281" s="51">
        <f t="shared" ca="1" si="23"/>
        <v>5</v>
      </c>
      <c r="J281" s="52" t="s">
        <v>257</v>
      </c>
      <c r="K281" s="53">
        <v>47440</v>
      </c>
      <c r="L281" s="54">
        <v>3</v>
      </c>
    </row>
    <row r="282" spans="1:12" ht="15" x14ac:dyDescent="0.25">
      <c r="A282" s="39" t="s">
        <v>410</v>
      </c>
      <c r="B282" s="46" t="s">
        <v>271</v>
      </c>
      <c r="C282" s="39" t="s">
        <v>465</v>
      </c>
      <c r="D282" s="72">
        <v>147724014</v>
      </c>
      <c r="E282" s="73">
        <v>9192212512</v>
      </c>
      <c r="F282" s="39" t="s">
        <v>256</v>
      </c>
      <c r="G282" s="81">
        <v>35188</v>
      </c>
      <c r="H282" s="105" t="str">
        <f t="shared" si="22"/>
        <v>May</v>
      </c>
      <c r="I282" s="51">
        <f t="shared" ca="1" si="23"/>
        <v>20</v>
      </c>
      <c r="J282" s="52" t="s">
        <v>283</v>
      </c>
      <c r="K282" s="53">
        <v>44270</v>
      </c>
      <c r="L282" s="54">
        <v>2</v>
      </c>
    </row>
    <row r="283" spans="1:12" ht="15" x14ac:dyDescent="0.25">
      <c r="A283" s="39" t="s">
        <v>537</v>
      </c>
      <c r="B283" s="46" t="s">
        <v>271</v>
      </c>
      <c r="C283" s="39" t="s">
        <v>465</v>
      </c>
      <c r="D283" s="72">
        <v>505966230</v>
      </c>
      <c r="E283" s="73">
        <v>9198038161</v>
      </c>
      <c r="F283" s="39" t="s">
        <v>256</v>
      </c>
      <c r="G283" s="81">
        <v>33993</v>
      </c>
      <c r="H283" s="105" t="str">
        <f t="shared" si="22"/>
        <v>January</v>
      </c>
      <c r="I283" s="51">
        <f t="shared" ca="1" si="23"/>
        <v>23</v>
      </c>
      <c r="J283" s="52" t="s">
        <v>283</v>
      </c>
      <c r="K283" s="53">
        <v>45500</v>
      </c>
      <c r="L283" s="54">
        <v>3</v>
      </c>
    </row>
    <row r="284" spans="1:12" ht="15" x14ac:dyDescent="0.25">
      <c r="A284" s="39" t="s">
        <v>559</v>
      </c>
      <c r="B284" s="46" t="s">
        <v>245</v>
      </c>
      <c r="C284" s="39" t="s">
        <v>465</v>
      </c>
      <c r="D284" s="72">
        <v>427260216</v>
      </c>
      <c r="E284" s="73">
        <v>9198999194</v>
      </c>
      <c r="F284" s="39" t="s">
        <v>261</v>
      </c>
      <c r="G284" s="81">
        <v>34163</v>
      </c>
      <c r="H284" s="105" t="str">
        <f t="shared" si="22"/>
        <v>July</v>
      </c>
      <c r="I284" s="51">
        <f t="shared" ca="1" si="23"/>
        <v>23</v>
      </c>
      <c r="J284" s="52" t="s">
        <v>262</v>
      </c>
      <c r="K284" s="53">
        <v>18895</v>
      </c>
      <c r="L284" s="54">
        <v>4</v>
      </c>
    </row>
    <row r="285" spans="1:12" ht="15" x14ac:dyDescent="0.25">
      <c r="A285" s="39" t="s">
        <v>316</v>
      </c>
      <c r="B285" s="46" t="s">
        <v>251</v>
      </c>
      <c r="C285" s="39" t="s">
        <v>465</v>
      </c>
      <c r="D285" s="72">
        <v>884025623</v>
      </c>
      <c r="E285" s="73">
        <v>2521280865</v>
      </c>
      <c r="F285" s="39" t="s">
        <v>247</v>
      </c>
      <c r="G285" s="81">
        <v>34031</v>
      </c>
      <c r="H285" s="105" t="str">
        <f t="shared" si="22"/>
        <v>March</v>
      </c>
      <c r="I285" s="51">
        <f t="shared" ca="1" si="23"/>
        <v>23</v>
      </c>
      <c r="J285" s="52"/>
      <c r="K285" s="53">
        <v>64430</v>
      </c>
      <c r="L285" s="54">
        <v>4</v>
      </c>
    </row>
    <row r="286" spans="1:12" ht="15" x14ac:dyDescent="0.25">
      <c r="A286" s="39" t="s">
        <v>929</v>
      </c>
      <c r="B286" s="46" t="s">
        <v>266</v>
      </c>
      <c r="C286" s="39" t="s">
        <v>465</v>
      </c>
      <c r="D286" s="72">
        <v>378189642</v>
      </c>
      <c r="E286" s="73">
        <v>2526228199</v>
      </c>
      <c r="F286" s="39" t="s">
        <v>247</v>
      </c>
      <c r="G286" s="81">
        <v>37899</v>
      </c>
      <c r="H286" s="105" t="str">
        <f t="shared" si="22"/>
        <v>October</v>
      </c>
      <c r="I286" s="51">
        <f t="shared" ca="1" si="23"/>
        <v>13</v>
      </c>
      <c r="J286" s="52"/>
      <c r="K286" s="53">
        <v>64220</v>
      </c>
      <c r="L286" s="54">
        <v>5</v>
      </c>
    </row>
    <row r="287" spans="1:12" ht="15" x14ac:dyDescent="0.25">
      <c r="A287" s="39" t="s">
        <v>608</v>
      </c>
      <c r="B287" s="46" t="s">
        <v>271</v>
      </c>
      <c r="C287" s="39" t="s">
        <v>465</v>
      </c>
      <c r="D287" s="72">
        <v>512405919</v>
      </c>
      <c r="E287" s="73">
        <v>9195858234</v>
      </c>
      <c r="F287" s="39" t="s">
        <v>256</v>
      </c>
      <c r="G287" s="81">
        <v>37436</v>
      </c>
      <c r="H287" s="105" t="str">
        <f t="shared" si="22"/>
        <v>June</v>
      </c>
      <c r="I287" s="51">
        <f t="shared" ca="1" si="23"/>
        <v>14</v>
      </c>
      <c r="J287" s="52" t="s">
        <v>267</v>
      </c>
      <c r="K287" s="53">
        <v>64130</v>
      </c>
      <c r="L287" s="54">
        <v>1</v>
      </c>
    </row>
    <row r="288" spans="1:12" ht="15" x14ac:dyDescent="0.25">
      <c r="A288" s="39" t="s">
        <v>1018</v>
      </c>
      <c r="B288" s="46" t="s">
        <v>285</v>
      </c>
      <c r="C288" s="39" t="s">
        <v>465</v>
      </c>
      <c r="D288" s="72">
        <v>114005397</v>
      </c>
      <c r="E288" s="73">
        <v>2524694617</v>
      </c>
      <c r="F288" s="39" t="s">
        <v>247</v>
      </c>
      <c r="G288" s="81">
        <v>39189</v>
      </c>
      <c r="H288" s="105" t="str">
        <f t="shared" si="22"/>
        <v>April</v>
      </c>
      <c r="I288" s="51">
        <f t="shared" ca="1" si="23"/>
        <v>9</v>
      </c>
      <c r="J288" s="52"/>
      <c r="K288" s="53">
        <v>63850</v>
      </c>
      <c r="L288" s="54">
        <v>2</v>
      </c>
    </row>
    <row r="289" spans="1:12" ht="15" x14ac:dyDescent="0.25">
      <c r="A289" s="39" t="s">
        <v>592</v>
      </c>
      <c r="B289" s="46" t="s">
        <v>280</v>
      </c>
      <c r="C289" s="39" t="s">
        <v>465</v>
      </c>
      <c r="D289" s="72">
        <v>396727504</v>
      </c>
      <c r="E289" s="73">
        <v>9193204992</v>
      </c>
      <c r="F289" s="39" t="s">
        <v>247</v>
      </c>
      <c r="G289" s="81">
        <v>36600</v>
      </c>
      <c r="H289" s="105" t="str">
        <f t="shared" si="22"/>
        <v>March</v>
      </c>
      <c r="I289" s="51">
        <f t="shared" ca="1" si="23"/>
        <v>16</v>
      </c>
      <c r="J289" s="52"/>
      <c r="K289" s="53">
        <v>41840</v>
      </c>
      <c r="L289" s="54">
        <v>2</v>
      </c>
    </row>
    <row r="290" spans="1:12" ht="15" x14ac:dyDescent="0.25">
      <c r="A290" s="39" t="s">
        <v>663</v>
      </c>
      <c r="B290" s="46" t="s">
        <v>285</v>
      </c>
      <c r="C290" s="39" t="s">
        <v>465</v>
      </c>
      <c r="D290" s="72">
        <v>930282755</v>
      </c>
      <c r="E290" s="73">
        <v>9192380636</v>
      </c>
      <c r="F290" s="39" t="s">
        <v>261</v>
      </c>
      <c r="G290" s="81">
        <v>35189</v>
      </c>
      <c r="H290" s="105" t="str">
        <f t="shared" si="22"/>
        <v>May</v>
      </c>
      <c r="I290" s="51">
        <f t="shared" ca="1" si="23"/>
        <v>20</v>
      </c>
      <c r="J290" s="52" t="s">
        <v>257</v>
      </c>
      <c r="K290" s="53">
        <v>46285</v>
      </c>
      <c r="L290" s="54">
        <v>5</v>
      </c>
    </row>
    <row r="291" spans="1:12" ht="15" x14ac:dyDescent="0.25">
      <c r="A291" s="39" t="s">
        <v>882</v>
      </c>
      <c r="B291" s="46" t="s">
        <v>271</v>
      </c>
      <c r="C291" s="39" t="s">
        <v>465</v>
      </c>
      <c r="D291" s="72">
        <v>280304785</v>
      </c>
      <c r="E291" s="73">
        <v>2525918708</v>
      </c>
      <c r="F291" s="39" t="s">
        <v>256</v>
      </c>
      <c r="G291" s="81">
        <v>35996</v>
      </c>
      <c r="H291" s="105" t="str">
        <f t="shared" ref="H291:H322" si="24">CHOOSE(MONTH(G291),"January","February","March","April","May","June","July","August","September","October","November","December")</f>
        <v>July</v>
      </c>
      <c r="I291" s="51">
        <f t="shared" ref="I291:I322" ca="1" si="25">DATEDIF(G291,TODAY(),"Y")</f>
        <v>18</v>
      </c>
      <c r="J291" s="52" t="s">
        <v>257</v>
      </c>
      <c r="K291" s="53">
        <v>40340</v>
      </c>
      <c r="L291" s="54">
        <v>2</v>
      </c>
    </row>
    <row r="292" spans="1:12" ht="15" x14ac:dyDescent="0.25">
      <c r="A292" s="39" t="s">
        <v>604</v>
      </c>
      <c r="B292" s="46" t="s">
        <v>271</v>
      </c>
      <c r="C292" s="39" t="s">
        <v>465</v>
      </c>
      <c r="D292" s="72">
        <v>698869555</v>
      </c>
      <c r="E292" s="73">
        <v>2526052545</v>
      </c>
      <c r="F292" s="39" t="s">
        <v>261</v>
      </c>
      <c r="G292" s="81">
        <v>36503</v>
      </c>
      <c r="H292" s="105" t="str">
        <f t="shared" si="24"/>
        <v>December</v>
      </c>
      <c r="I292" s="51">
        <f t="shared" ca="1" si="25"/>
        <v>16</v>
      </c>
      <c r="J292" s="52" t="s">
        <v>267</v>
      </c>
      <c r="K292" s="53">
        <v>41615</v>
      </c>
      <c r="L292" s="54">
        <v>1</v>
      </c>
    </row>
    <row r="293" spans="1:12" ht="15" x14ac:dyDescent="0.25">
      <c r="A293" s="39" t="s">
        <v>772</v>
      </c>
      <c r="B293" s="46" t="s">
        <v>285</v>
      </c>
      <c r="C293" s="39" t="s">
        <v>465</v>
      </c>
      <c r="D293" s="72">
        <v>251824309</v>
      </c>
      <c r="E293" s="73">
        <v>9197950668</v>
      </c>
      <c r="F293" s="39" t="s">
        <v>247</v>
      </c>
      <c r="G293" s="81">
        <v>36729</v>
      </c>
      <c r="H293" s="105" t="str">
        <f t="shared" si="24"/>
        <v>July</v>
      </c>
      <c r="I293" s="51">
        <f t="shared" ca="1" si="25"/>
        <v>16</v>
      </c>
      <c r="J293" s="52"/>
      <c r="K293" s="53">
        <v>45420</v>
      </c>
      <c r="L293" s="54">
        <v>1</v>
      </c>
    </row>
    <row r="294" spans="1:12" ht="15" x14ac:dyDescent="0.25">
      <c r="A294" s="39" t="s">
        <v>346</v>
      </c>
      <c r="B294" s="46" t="s">
        <v>271</v>
      </c>
      <c r="C294" s="39" t="s">
        <v>465</v>
      </c>
      <c r="D294" s="72">
        <v>219245495</v>
      </c>
      <c r="E294" s="73">
        <v>9198256039</v>
      </c>
      <c r="F294" s="39" t="s">
        <v>247</v>
      </c>
      <c r="G294" s="81">
        <v>34425</v>
      </c>
      <c r="H294" s="105" t="str">
        <f t="shared" si="24"/>
        <v>April</v>
      </c>
      <c r="I294" s="51">
        <f t="shared" ca="1" si="25"/>
        <v>22</v>
      </c>
      <c r="J294" s="52"/>
      <c r="K294" s="53">
        <v>63310</v>
      </c>
      <c r="L294" s="54">
        <v>3</v>
      </c>
    </row>
    <row r="295" spans="1:12" ht="15" x14ac:dyDescent="0.25">
      <c r="A295" s="39" t="s">
        <v>964</v>
      </c>
      <c r="B295" s="46" t="s">
        <v>245</v>
      </c>
      <c r="C295" s="39" t="s">
        <v>465</v>
      </c>
      <c r="D295" s="72">
        <v>865073824</v>
      </c>
      <c r="E295" s="73">
        <v>2524785979</v>
      </c>
      <c r="F295" s="39" t="s">
        <v>256</v>
      </c>
      <c r="G295" s="81">
        <v>34541</v>
      </c>
      <c r="H295" s="105" t="str">
        <f t="shared" si="24"/>
        <v>July</v>
      </c>
      <c r="I295" s="51">
        <f t="shared" ca="1" si="25"/>
        <v>22</v>
      </c>
      <c r="J295" s="52" t="s">
        <v>276</v>
      </c>
      <c r="K295" s="53">
        <v>34480</v>
      </c>
      <c r="L295" s="54">
        <v>3</v>
      </c>
    </row>
    <row r="296" spans="1:12" ht="15" x14ac:dyDescent="0.25">
      <c r="A296" s="39" t="s">
        <v>785</v>
      </c>
      <c r="B296" s="46" t="s">
        <v>285</v>
      </c>
      <c r="C296" s="39" t="s">
        <v>465</v>
      </c>
      <c r="D296" s="72">
        <v>682500261</v>
      </c>
      <c r="E296" s="73">
        <v>9191163627</v>
      </c>
      <c r="F296" s="39" t="s">
        <v>256</v>
      </c>
      <c r="G296" s="81">
        <v>34881</v>
      </c>
      <c r="H296" s="105" t="str">
        <f t="shared" si="24"/>
        <v>July</v>
      </c>
      <c r="I296" s="51">
        <f t="shared" ca="1" si="25"/>
        <v>21</v>
      </c>
      <c r="J296" s="52" t="s">
        <v>262</v>
      </c>
      <c r="K296" s="53">
        <v>63070</v>
      </c>
      <c r="L296" s="54">
        <v>1</v>
      </c>
    </row>
    <row r="297" spans="1:12" ht="15" x14ac:dyDescent="0.25">
      <c r="A297" s="39" t="s">
        <v>845</v>
      </c>
      <c r="B297" s="46" t="s">
        <v>280</v>
      </c>
      <c r="C297" s="39" t="s">
        <v>465</v>
      </c>
      <c r="D297" s="72">
        <v>596008829</v>
      </c>
      <c r="E297" s="73">
        <v>9198721709</v>
      </c>
      <c r="F297" s="39" t="s">
        <v>247</v>
      </c>
      <c r="G297" s="81">
        <v>36011</v>
      </c>
      <c r="H297" s="105" t="str">
        <f t="shared" si="24"/>
        <v>August</v>
      </c>
      <c r="I297" s="51">
        <f t="shared" ca="1" si="25"/>
        <v>18</v>
      </c>
      <c r="J297" s="52"/>
      <c r="K297" s="53">
        <v>45050</v>
      </c>
      <c r="L297" s="54">
        <v>1</v>
      </c>
    </row>
    <row r="298" spans="1:12" ht="15" x14ac:dyDescent="0.25">
      <c r="A298" s="39" t="s">
        <v>825</v>
      </c>
      <c r="B298" s="46" t="s">
        <v>245</v>
      </c>
      <c r="C298" s="39" t="s">
        <v>465</v>
      </c>
      <c r="D298" s="72">
        <v>318068637</v>
      </c>
      <c r="E298" s="73">
        <v>9193709408</v>
      </c>
      <c r="F298" s="39" t="s">
        <v>247</v>
      </c>
      <c r="G298" s="81">
        <v>39538</v>
      </c>
      <c r="H298" s="105" t="str">
        <f t="shared" si="24"/>
        <v>March</v>
      </c>
      <c r="I298" s="51">
        <f t="shared" ca="1" si="25"/>
        <v>8</v>
      </c>
      <c r="J298" s="52"/>
      <c r="K298" s="53">
        <v>62780</v>
      </c>
      <c r="L298" s="54">
        <v>4</v>
      </c>
    </row>
    <row r="299" spans="1:12" ht="15" x14ac:dyDescent="0.25">
      <c r="A299" s="39" t="s">
        <v>440</v>
      </c>
      <c r="B299" s="46" t="s">
        <v>271</v>
      </c>
      <c r="C299" s="39" t="s">
        <v>465</v>
      </c>
      <c r="D299" s="72">
        <v>213584397</v>
      </c>
      <c r="E299" s="73">
        <v>2524138160</v>
      </c>
      <c r="F299" s="39" t="s">
        <v>256</v>
      </c>
      <c r="G299" s="81">
        <v>37331</v>
      </c>
      <c r="H299" s="105" t="str">
        <f t="shared" si="24"/>
        <v>March</v>
      </c>
      <c r="I299" s="51">
        <f t="shared" ca="1" si="25"/>
        <v>14</v>
      </c>
      <c r="J299" s="52" t="s">
        <v>283</v>
      </c>
      <c r="K299" s="53">
        <v>62750</v>
      </c>
      <c r="L299" s="54">
        <v>3</v>
      </c>
    </row>
    <row r="300" spans="1:12" ht="15" x14ac:dyDescent="0.25">
      <c r="A300" s="39" t="s">
        <v>792</v>
      </c>
      <c r="B300" s="46" t="s">
        <v>285</v>
      </c>
      <c r="C300" s="39" t="s">
        <v>465</v>
      </c>
      <c r="D300" s="72">
        <v>110547055</v>
      </c>
      <c r="E300" s="73">
        <v>2526966637</v>
      </c>
      <c r="F300" s="39" t="s">
        <v>261</v>
      </c>
      <c r="G300" s="81">
        <v>36360</v>
      </c>
      <c r="H300" s="105" t="str">
        <f t="shared" si="24"/>
        <v>July</v>
      </c>
      <c r="I300" s="51">
        <f t="shared" ca="1" si="25"/>
        <v>17</v>
      </c>
      <c r="J300" s="52" t="s">
        <v>283</v>
      </c>
      <c r="K300" s="53">
        <v>11065</v>
      </c>
      <c r="L300" s="54">
        <v>1</v>
      </c>
    </row>
    <row r="301" spans="1:12" ht="15" x14ac:dyDescent="0.25">
      <c r="A301" s="39" t="s">
        <v>328</v>
      </c>
      <c r="B301" s="46" t="s">
        <v>285</v>
      </c>
      <c r="C301" s="39" t="s">
        <v>465</v>
      </c>
      <c r="D301" s="72">
        <v>948480407</v>
      </c>
      <c r="E301" s="73">
        <v>9191449596</v>
      </c>
      <c r="F301" s="39" t="s">
        <v>247</v>
      </c>
      <c r="G301" s="81">
        <v>37634</v>
      </c>
      <c r="H301" s="105" t="str">
        <f t="shared" si="24"/>
        <v>January</v>
      </c>
      <c r="I301" s="51">
        <f t="shared" ca="1" si="25"/>
        <v>13</v>
      </c>
      <c r="J301" s="52"/>
      <c r="K301" s="53">
        <v>61370</v>
      </c>
      <c r="L301" s="54">
        <v>3</v>
      </c>
    </row>
    <row r="302" spans="1:12" ht="15" x14ac:dyDescent="0.25">
      <c r="A302" s="39" t="s">
        <v>492</v>
      </c>
      <c r="B302" s="46" t="s">
        <v>271</v>
      </c>
      <c r="C302" s="39" t="s">
        <v>465</v>
      </c>
      <c r="D302" s="72">
        <v>931105030</v>
      </c>
      <c r="E302" s="73">
        <v>9191397811</v>
      </c>
      <c r="F302" s="39" t="s">
        <v>256</v>
      </c>
      <c r="G302" s="81">
        <v>36273</v>
      </c>
      <c r="H302" s="105" t="str">
        <f t="shared" si="24"/>
        <v>April</v>
      </c>
      <c r="I302" s="51">
        <f t="shared" ca="1" si="25"/>
        <v>17</v>
      </c>
      <c r="J302" s="52" t="s">
        <v>283</v>
      </c>
      <c r="K302" s="53">
        <v>61330</v>
      </c>
      <c r="L302" s="54">
        <v>4</v>
      </c>
    </row>
    <row r="303" spans="1:12" ht="15" x14ac:dyDescent="0.25">
      <c r="A303" s="39" t="s">
        <v>294</v>
      </c>
      <c r="B303" s="46" t="s">
        <v>245</v>
      </c>
      <c r="C303" s="39" t="s">
        <v>465</v>
      </c>
      <c r="D303" s="72">
        <v>684054281</v>
      </c>
      <c r="E303" s="73">
        <v>2522888726</v>
      </c>
      <c r="F303" s="39" t="s">
        <v>256</v>
      </c>
      <c r="G303" s="81">
        <v>38146</v>
      </c>
      <c r="H303" s="105" t="str">
        <f t="shared" si="24"/>
        <v>June</v>
      </c>
      <c r="I303" s="51">
        <f t="shared" ca="1" si="25"/>
        <v>12</v>
      </c>
      <c r="J303" s="52" t="s">
        <v>257</v>
      </c>
      <c r="K303" s="53">
        <v>47340</v>
      </c>
      <c r="L303" s="54">
        <v>2</v>
      </c>
    </row>
    <row r="304" spans="1:12" ht="15" x14ac:dyDescent="0.25">
      <c r="A304" s="39" t="s">
        <v>515</v>
      </c>
      <c r="B304" s="46" t="s">
        <v>251</v>
      </c>
      <c r="C304" s="39" t="s">
        <v>465</v>
      </c>
      <c r="D304" s="72">
        <v>696435191</v>
      </c>
      <c r="E304" s="73">
        <v>2527710498</v>
      </c>
      <c r="F304" s="39" t="s">
        <v>256</v>
      </c>
      <c r="G304" s="81">
        <v>35591</v>
      </c>
      <c r="H304" s="105" t="str">
        <f t="shared" si="24"/>
        <v>June</v>
      </c>
      <c r="I304" s="51">
        <f t="shared" ca="1" si="25"/>
        <v>19</v>
      </c>
      <c r="J304" s="52" t="s">
        <v>283</v>
      </c>
      <c r="K304" s="53">
        <v>61150</v>
      </c>
      <c r="L304" s="54">
        <v>2</v>
      </c>
    </row>
    <row r="305" spans="1:12" ht="15" x14ac:dyDescent="0.25">
      <c r="A305" s="39" t="s">
        <v>902</v>
      </c>
      <c r="B305" s="46" t="s">
        <v>285</v>
      </c>
      <c r="C305" s="39" t="s">
        <v>465</v>
      </c>
      <c r="D305" s="72">
        <v>249929042</v>
      </c>
      <c r="E305" s="73">
        <v>2525790872</v>
      </c>
      <c r="F305" s="39" t="s">
        <v>256</v>
      </c>
      <c r="G305" s="81">
        <v>38664</v>
      </c>
      <c r="H305" s="105" t="str">
        <f t="shared" si="24"/>
        <v>November</v>
      </c>
      <c r="I305" s="51">
        <f t="shared" ca="1" si="25"/>
        <v>11</v>
      </c>
      <c r="J305" s="52" t="s">
        <v>257</v>
      </c>
      <c r="K305" s="53">
        <v>61060</v>
      </c>
      <c r="L305" s="54">
        <v>5</v>
      </c>
    </row>
    <row r="306" spans="1:12" ht="15" x14ac:dyDescent="0.25">
      <c r="A306" s="39" t="s">
        <v>775</v>
      </c>
      <c r="B306" s="46" t="s">
        <v>280</v>
      </c>
      <c r="C306" s="39" t="s">
        <v>465</v>
      </c>
      <c r="D306" s="72">
        <v>350104448</v>
      </c>
      <c r="E306" s="73">
        <v>9193883356</v>
      </c>
      <c r="F306" s="39" t="s">
        <v>256</v>
      </c>
      <c r="G306" s="81">
        <v>35529</v>
      </c>
      <c r="H306" s="105" t="str">
        <f t="shared" si="24"/>
        <v>April</v>
      </c>
      <c r="I306" s="51">
        <f t="shared" ca="1" si="25"/>
        <v>19</v>
      </c>
      <c r="J306" s="52" t="s">
        <v>267</v>
      </c>
      <c r="K306" s="53">
        <v>44920</v>
      </c>
      <c r="L306" s="54">
        <v>1</v>
      </c>
    </row>
    <row r="307" spans="1:12" ht="15" x14ac:dyDescent="0.25">
      <c r="A307" s="39" t="s">
        <v>525</v>
      </c>
      <c r="B307" s="46" t="s">
        <v>280</v>
      </c>
      <c r="C307" s="39" t="s">
        <v>465</v>
      </c>
      <c r="D307" s="72">
        <v>466293520</v>
      </c>
      <c r="E307" s="73">
        <v>2524442142</v>
      </c>
      <c r="F307" s="39" t="s">
        <v>252</v>
      </c>
      <c r="G307" s="81">
        <v>33751</v>
      </c>
      <c r="H307" s="105" t="str">
        <f t="shared" si="24"/>
        <v>May</v>
      </c>
      <c r="I307" s="51">
        <f t="shared" ca="1" si="25"/>
        <v>24</v>
      </c>
      <c r="J307" s="52"/>
      <c r="K307" s="53">
        <v>22344</v>
      </c>
      <c r="L307" s="54">
        <v>4</v>
      </c>
    </row>
    <row r="308" spans="1:12" ht="15" x14ac:dyDescent="0.25">
      <c r="A308" s="39" t="s">
        <v>588</v>
      </c>
      <c r="B308" s="46" t="s">
        <v>271</v>
      </c>
      <c r="C308" s="39" t="s">
        <v>465</v>
      </c>
      <c r="D308" s="72">
        <v>259573806</v>
      </c>
      <c r="E308" s="73">
        <v>9193302808</v>
      </c>
      <c r="F308" s="39" t="s">
        <v>256</v>
      </c>
      <c r="G308" s="81">
        <v>33648</v>
      </c>
      <c r="H308" s="105" t="str">
        <f t="shared" si="24"/>
        <v>February</v>
      </c>
      <c r="I308" s="51">
        <f t="shared" ca="1" si="25"/>
        <v>24</v>
      </c>
      <c r="J308" s="52" t="s">
        <v>276</v>
      </c>
      <c r="K308" s="53">
        <v>60380</v>
      </c>
      <c r="L308" s="54">
        <v>4</v>
      </c>
    </row>
    <row r="309" spans="1:12" ht="15" x14ac:dyDescent="0.25">
      <c r="A309" s="39" t="s">
        <v>710</v>
      </c>
      <c r="B309" s="46" t="s">
        <v>271</v>
      </c>
      <c r="C309" s="39" t="s">
        <v>465</v>
      </c>
      <c r="D309" s="72">
        <v>853268713</v>
      </c>
      <c r="E309" s="73">
        <v>9192712826</v>
      </c>
      <c r="F309" s="39" t="s">
        <v>256</v>
      </c>
      <c r="G309" s="81">
        <v>35589</v>
      </c>
      <c r="H309" s="105" t="str">
        <f t="shared" si="24"/>
        <v>June</v>
      </c>
      <c r="I309" s="51">
        <f t="shared" ca="1" si="25"/>
        <v>19</v>
      </c>
      <c r="J309" s="52" t="s">
        <v>257</v>
      </c>
      <c r="K309" s="53">
        <v>60280</v>
      </c>
      <c r="L309" s="54">
        <v>1</v>
      </c>
    </row>
    <row r="310" spans="1:12" ht="15" x14ac:dyDescent="0.25">
      <c r="A310" s="39" t="s">
        <v>756</v>
      </c>
      <c r="B310" s="46" t="s">
        <v>271</v>
      </c>
      <c r="C310" s="39" t="s">
        <v>465</v>
      </c>
      <c r="D310" s="72">
        <v>676030562</v>
      </c>
      <c r="E310" s="73">
        <v>9198253211</v>
      </c>
      <c r="F310" s="39" t="s">
        <v>256</v>
      </c>
      <c r="G310" s="81">
        <v>35695</v>
      </c>
      <c r="H310" s="105" t="str">
        <f t="shared" si="24"/>
        <v>September</v>
      </c>
      <c r="I310" s="51">
        <f t="shared" ca="1" si="25"/>
        <v>19</v>
      </c>
      <c r="J310" s="52" t="s">
        <v>257</v>
      </c>
      <c r="K310" s="53">
        <v>60100</v>
      </c>
      <c r="L310" s="54">
        <v>1</v>
      </c>
    </row>
    <row r="311" spans="1:12" ht="15" x14ac:dyDescent="0.25">
      <c r="A311" s="39" t="s">
        <v>519</v>
      </c>
      <c r="B311" s="46" t="s">
        <v>271</v>
      </c>
      <c r="C311" s="39" t="s">
        <v>465</v>
      </c>
      <c r="D311" s="72">
        <v>616417564</v>
      </c>
      <c r="E311" s="73">
        <v>9191806180</v>
      </c>
      <c r="F311" s="39" t="s">
        <v>247</v>
      </c>
      <c r="G311" s="81">
        <v>35451</v>
      </c>
      <c r="H311" s="105" t="str">
        <f t="shared" si="24"/>
        <v>January</v>
      </c>
      <c r="I311" s="51">
        <f t="shared" ca="1" si="25"/>
        <v>19</v>
      </c>
      <c r="J311" s="52"/>
      <c r="K311" s="53">
        <v>42150</v>
      </c>
      <c r="L311" s="54">
        <v>5</v>
      </c>
    </row>
    <row r="312" spans="1:12" ht="15" x14ac:dyDescent="0.25">
      <c r="A312" s="39" t="s">
        <v>714</v>
      </c>
      <c r="B312" s="46" t="s">
        <v>266</v>
      </c>
      <c r="C312" s="39" t="s">
        <v>465</v>
      </c>
      <c r="D312" s="72">
        <v>596641549</v>
      </c>
      <c r="E312" s="73">
        <v>9196194175</v>
      </c>
      <c r="F312" s="39" t="s">
        <v>247</v>
      </c>
      <c r="G312" s="81">
        <v>36350</v>
      </c>
      <c r="H312" s="105" t="str">
        <f t="shared" si="24"/>
        <v>July</v>
      </c>
      <c r="I312" s="51">
        <f t="shared" ca="1" si="25"/>
        <v>17</v>
      </c>
      <c r="J312" s="52"/>
      <c r="K312" s="53">
        <v>27380</v>
      </c>
      <c r="L312" s="54">
        <v>3</v>
      </c>
    </row>
    <row r="313" spans="1:12" ht="15" x14ac:dyDescent="0.25">
      <c r="A313" s="39" t="s">
        <v>809</v>
      </c>
      <c r="B313" s="46" t="s">
        <v>271</v>
      </c>
      <c r="C313" s="39" t="s">
        <v>465</v>
      </c>
      <c r="D313" s="72">
        <v>220781349</v>
      </c>
      <c r="E313" s="73">
        <v>2525185281</v>
      </c>
      <c r="F313" s="39" t="s">
        <v>247</v>
      </c>
      <c r="G313" s="81">
        <v>34149</v>
      </c>
      <c r="H313" s="105" t="str">
        <f t="shared" si="24"/>
        <v>June</v>
      </c>
      <c r="I313" s="51">
        <f t="shared" ca="1" si="25"/>
        <v>23</v>
      </c>
      <c r="J313" s="52"/>
      <c r="K313" s="53">
        <v>45770</v>
      </c>
      <c r="L313" s="54">
        <v>5</v>
      </c>
    </row>
    <row r="314" spans="1:12" ht="15" x14ac:dyDescent="0.25">
      <c r="A314" s="39" t="s">
        <v>616</v>
      </c>
      <c r="B314" s="46" t="s">
        <v>245</v>
      </c>
      <c r="C314" s="39" t="s">
        <v>465</v>
      </c>
      <c r="D314" s="72">
        <v>436778229</v>
      </c>
      <c r="E314" s="73">
        <v>2525871924</v>
      </c>
      <c r="F314" s="39" t="s">
        <v>247</v>
      </c>
      <c r="G314" s="81">
        <v>39822</v>
      </c>
      <c r="H314" s="105" t="str">
        <f t="shared" si="24"/>
        <v>January</v>
      </c>
      <c r="I314" s="51">
        <f t="shared" ca="1" si="25"/>
        <v>7</v>
      </c>
      <c r="J314" s="52"/>
      <c r="K314" s="53">
        <v>60040</v>
      </c>
      <c r="L314" s="54">
        <v>5</v>
      </c>
    </row>
    <row r="315" spans="1:12" ht="15" x14ac:dyDescent="0.25">
      <c r="A315" s="39" t="s">
        <v>341</v>
      </c>
      <c r="B315" s="46" t="s">
        <v>266</v>
      </c>
      <c r="C315" s="39" t="s">
        <v>465</v>
      </c>
      <c r="D315" s="72">
        <v>292993080</v>
      </c>
      <c r="E315" s="73">
        <v>2525085320</v>
      </c>
      <c r="F315" s="39" t="s">
        <v>256</v>
      </c>
      <c r="G315" s="81">
        <v>39455</v>
      </c>
      <c r="H315" s="105" t="str">
        <f t="shared" si="24"/>
        <v>January</v>
      </c>
      <c r="I315" s="51">
        <f t="shared" ca="1" si="25"/>
        <v>8</v>
      </c>
      <c r="J315" s="52" t="s">
        <v>283</v>
      </c>
      <c r="K315" s="53">
        <v>59420</v>
      </c>
      <c r="L315" s="54">
        <v>4</v>
      </c>
    </row>
    <row r="316" spans="1:12" ht="15" x14ac:dyDescent="0.25">
      <c r="A316" s="39" t="s">
        <v>1470</v>
      </c>
      <c r="B316" s="46" t="s">
        <v>266</v>
      </c>
      <c r="C316" s="39" t="s">
        <v>465</v>
      </c>
      <c r="D316" s="72">
        <v>906321388</v>
      </c>
      <c r="E316" s="73">
        <v>2527919826</v>
      </c>
      <c r="F316" s="39" t="s">
        <v>247</v>
      </c>
      <c r="G316" s="81">
        <v>35360</v>
      </c>
      <c r="H316" s="105" t="str">
        <f t="shared" si="24"/>
        <v>October</v>
      </c>
      <c r="I316" s="51">
        <f t="shared" ca="1" si="25"/>
        <v>20</v>
      </c>
      <c r="J316" s="52"/>
      <c r="K316" s="53">
        <v>28260</v>
      </c>
      <c r="L316" s="54">
        <v>5</v>
      </c>
    </row>
    <row r="317" spans="1:12" ht="15" x14ac:dyDescent="0.25">
      <c r="A317" s="39" t="s">
        <v>966</v>
      </c>
      <c r="B317" s="46" t="s">
        <v>280</v>
      </c>
      <c r="C317" s="39" t="s">
        <v>465</v>
      </c>
      <c r="D317" s="72">
        <v>725737456</v>
      </c>
      <c r="E317" s="73">
        <v>9191847141</v>
      </c>
      <c r="F317" s="39" t="s">
        <v>247</v>
      </c>
      <c r="G317" s="81">
        <v>38874</v>
      </c>
      <c r="H317" s="105" t="str">
        <f t="shared" si="24"/>
        <v>June</v>
      </c>
      <c r="I317" s="51">
        <f t="shared" ca="1" si="25"/>
        <v>10</v>
      </c>
      <c r="J317" s="52"/>
      <c r="K317" s="53">
        <v>59330</v>
      </c>
      <c r="L317" s="54">
        <v>4</v>
      </c>
    </row>
    <row r="318" spans="1:12" ht="15" x14ac:dyDescent="0.25">
      <c r="A318" s="39" t="s">
        <v>527</v>
      </c>
      <c r="B318" s="46" t="s">
        <v>266</v>
      </c>
      <c r="C318" s="39" t="s">
        <v>465</v>
      </c>
      <c r="D318" s="72">
        <v>523758324</v>
      </c>
      <c r="E318" s="73">
        <v>9191308831</v>
      </c>
      <c r="F318" s="39" t="s">
        <v>256</v>
      </c>
      <c r="G318" s="81">
        <v>35361</v>
      </c>
      <c r="H318" s="105" t="str">
        <f t="shared" si="24"/>
        <v>October</v>
      </c>
      <c r="I318" s="51">
        <f t="shared" ca="1" si="25"/>
        <v>20</v>
      </c>
      <c r="J318" s="52" t="s">
        <v>257</v>
      </c>
      <c r="K318" s="53">
        <v>59320</v>
      </c>
      <c r="L318" s="54">
        <v>4</v>
      </c>
    </row>
    <row r="319" spans="1:12" ht="15" x14ac:dyDescent="0.25">
      <c r="A319" s="39" t="s">
        <v>560</v>
      </c>
      <c r="B319" s="46" t="s">
        <v>280</v>
      </c>
      <c r="C319" s="39" t="s">
        <v>465</v>
      </c>
      <c r="D319" s="72">
        <v>487810878</v>
      </c>
      <c r="E319" s="73">
        <v>9194555389</v>
      </c>
      <c r="F319" s="39" t="s">
        <v>256</v>
      </c>
      <c r="G319" s="81">
        <v>34068</v>
      </c>
      <c r="H319" s="105" t="str">
        <f t="shared" si="24"/>
        <v>April</v>
      </c>
      <c r="I319" s="51">
        <f t="shared" ca="1" si="25"/>
        <v>23</v>
      </c>
      <c r="J319" s="52" t="s">
        <v>283</v>
      </c>
      <c r="K319" s="53">
        <v>23330</v>
      </c>
      <c r="L319" s="54">
        <v>4</v>
      </c>
    </row>
    <row r="320" spans="1:12" ht="15" x14ac:dyDescent="0.25">
      <c r="A320" s="39" t="s">
        <v>979</v>
      </c>
      <c r="B320" s="46" t="s">
        <v>271</v>
      </c>
      <c r="C320" s="39" t="s">
        <v>465</v>
      </c>
      <c r="D320" s="72">
        <v>527185620</v>
      </c>
      <c r="E320" s="73">
        <v>2524627771</v>
      </c>
      <c r="F320" s="39" t="s">
        <v>256</v>
      </c>
      <c r="G320" s="81">
        <v>40270</v>
      </c>
      <c r="H320" s="105" t="str">
        <f t="shared" si="24"/>
        <v>April</v>
      </c>
      <c r="I320" s="51">
        <f t="shared" ca="1" si="25"/>
        <v>6</v>
      </c>
      <c r="J320" s="52" t="s">
        <v>283</v>
      </c>
      <c r="K320" s="53">
        <v>35300</v>
      </c>
      <c r="L320" s="54">
        <v>5</v>
      </c>
    </row>
    <row r="321" spans="1:12" ht="15" x14ac:dyDescent="0.25">
      <c r="A321" s="39" t="s">
        <v>876</v>
      </c>
      <c r="B321" s="46" t="s">
        <v>251</v>
      </c>
      <c r="C321" s="39" t="s">
        <v>465</v>
      </c>
      <c r="D321" s="72">
        <v>944793994</v>
      </c>
      <c r="E321" s="73">
        <v>2525725646</v>
      </c>
      <c r="F321" s="39" t="s">
        <v>256</v>
      </c>
      <c r="G321" s="81">
        <v>34785</v>
      </c>
      <c r="H321" s="105" t="str">
        <f t="shared" si="24"/>
        <v>March</v>
      </c>
      <c r="I321" s="51">
        <f t="shared" ca="1" si="25"/>
        <v>21</v>
      </c>
      <c r="J321" s="52" t="s">
        <v>257</v>
      </c>
      <c r="K321" s="53">
        <v>24300</v>
      </c>
      <c r="L321" s="54">
        <v>3</v>
      </c>
    </row>
    <row r="322" spans="1:12" ht="15" x14ac:dyDescent="0.25">
      <c r="A322" s="39" t="s">
        <v>574</v>
      </c>
      <c r="B322" s="46" t="s">
        <v>280</v>
      </c>
      <c r="C322" s="39" t="s">
        <v>465</v>
      </c>
      <c r="D322" s="72">
        <v>969216994</v>
      </c>
      <c r="E322" s="73">
        <v>2528973095</v>
      </c>
      <c r="F322" s="39" t="s">
        <v>247</v>
      </c>
      <c r="G322" s="81">
        <v>36283</v>
      </c>
      <c r="H322" s="105" t="str">
        <f t="shared" si="24"/>
        <v>May</v>
      </c>
      <c r="I322" s="51">
        <f t="shared" ca="1" si="25"/>
        <v>17</v>
      </c>
      <c r="J322" s="52"/>
      <c r="K322" s="53">
        <v>25130</v>
      </c>
      <c r="L322" s="54">
        <v>5</v>
      </c>
    </row>
    <row r="323" spans="1:12" ht="15" x14ac:dyDescent="0.25">
      <c r="A323" s="39" t="s">
        <v>674</v>
      </c>
      <c r="B323" s="46" t="s">
        <v>280</v>
      </c>
      <c r="C323" s="39" t="s">
        <v>465</v>
      </c>
      <c r="D323" s="72">
        <v>312019803</v>
      </c>
      <c r="E323" s="73">
        <v>9197961953</v>
      </c>
      <c r="F323" s="39" t="s">
        <v>256</v>
      </c>
      <c r="G323" s="81">
        <v>37229</v>
      </c>
      <c r="H323" s="105" t="str">
        <f t="shared" ref="H323:H345" si="26">CHOOSE(MONTH(G323),"January","February","March","April","May","June","July","August","September","October","November","December")</f>
        <v>December</v>
      </c>
      <c r="I323" s="51">
        <f t="shared" ref="I323:I345" ca="1" si="27">DATEDIF(G323,TODAY(),"Y")</f>
        <v>14</v>
      </c>
      <c r="J323" s="52" t="s">
        <v>283</v>
      </c>
      <c r="K323" s="53">
        <v>25310</v>
      </c>
      <c r="L323" s="54">
        <v>4</v>
      </c>
    </row>
    <row r="324" spans="1:12" ht="15" x14ac:dyDescent="0.25">
      <c r="A324" s="39" t="s">
        <v>799</v>
      </c>
      <c r="B324" s="46" t="s">
        <v>285</v>
      </c>
      <c r="C324" s="39" t="s">
        <v>465</v>
      </c>
      <c r="D324" s="72">
        <v>559376297</v>
      </c>
      <c r="E324" s="73">
        <v>9194888110</v>
      </c>
      <c r="F324" s="39" t="s">
        <v>256</v>
      </c>
      <c r="G324" s="81">
        <v>36431</v>
      </c>
      <c r="H324" s="105" t="str">
        <f t="shared" si="26"/>
        <v>September</v>
      </c>
      <c r="I324" s="51">
        <f t="shared" ca="1" si="27"/>
        <v>17</v>
      </c>
      <c r="J324" s="52" t="s">
        <v>257</v>
      </c>
      <c r="K324" s="53">
        <v>35820</v>
      </c>
      <c r="L324" s="54">
        <v>2</v>
      </c>
    </row>
    <row r="325" spans="1:12" ht="15" x14ac:dyDescent="0.25">
      <c r="A325" s="39" t="s">
        <v>697</v>
      </c>
      <c r="B325" s="46" t="s">
        <v>245</v>
      </c>
      <c r="C325" s="39" t="s">
        <v>465</v>
      </c>
      <c r="D325" s="72">
        <v>467030396</v>
      </c>
      <c r="E325" s="73">
        <v>2526213620</v>
      </c>
      <c r="F325" s="39" t="s">
        <v>256</v>
      </c>
      <c r="G325" s="81">
        <v>33720</v>
      </c>
      <c r="H325" s="105" t="str">
        <f t="shared" si="26"/>
        <v>April</v>
      </c>
      <c r="I325" s="51">
        <f t="shared" ca="1" si="27"/>
        <v>24</v>
      </c>
      <c r="J325" s="52" t="s">
        <v>283</v>
      </c>
      <c r="K325" s="53">
        <v>58910</v>
      </c>
      <c r="L325" s="54">
        <v>1</v>
      </c>
    </row>
    <row r="326" spans="1:12" ht="15" x14ac:dyDescent="0.25">
      <c r="A326" s="39" t="s">
        <v>731</v>
      </c>
      <c r="B326" s="46" t="s">
        <v>285</v>
      </c>
      <c r="C326" s="39" t="s">
        <v>465</v>
      </c>
      <c r="D326" s="72">
        <v>319449613</v>
      </c>
      <c r="E326" s="73">
        <v>2523454032</v>
      </c>
      <c r="F326" s="39" t="s">
        <v>256</v>
      </c>
      <c r="G326" s="81">
        <v>36332</v>
      </c>
      <c r="H326" s="105" t="str">
        <f t="shared" si="26"/>
        <v>June</v>
      </c>
      <c r="I326" s="51">
        <f t="shared" ca="1" si="27"/>
        <v>17</v>
      </c>
      <c r="J326" s="52" t="s">
        <v>267</v>
      </c>
      <c r="K326" s="53">
        <v>37760</v>
      </c>
      <c r="L326" s="54">
        <v>2</v>
      </c>
    </row>
    <row r="327" spans="1:12" ht="15" x14ac:dyDescent="0.25">
      <c r="A327" s="39" t="s">
        <v>514</v>
      </c>
      <c r="B327" s="46" t="s">
        <v>280</v>
      </c>
      <c r="C327" s="39" t="s">
        <v>465</v>
      </c>
      <c r="D327" s="72">
        <v>826450563</v>
      </c>
      <c r="E327" s="73">
        <v>9196607355</v>
      </c>
      <c r="F327" s="39" t="s">
        <v>247</v>
      </c>
      <c r="G327" s="81">
        <v>36704</v>
      </c>
      <c r="H327" s="105" t="str">
        <f t="shared" si="26"/>
        <v>June</v>
      </c>
      <c r="I327" s="51">
        <f t="shared" ca="1" si="27"/>
        <v>16</v>
      </c>
      <c r="J327" s="52"/>
      <c r="K327" s="53">
        <v>57760</v>
      </c>
      <c r="L327" s="54">
        <v>3</v>
      </c>
    </row>
    <row r="328" spans="1:12" ht="15" x14ac:dyDescent="0.25">
      <c r="A328" s="39" t="s">
        <v>482</v>
      </c>
      <c r="B328" s="46" t="s">
        <v>271</v>
      </c>
      <c r="C328" s="39" t="s">
        <v>465</v>
      </c>
      <c r="D328" s="72">
        <v>257249459</v>
      </c>
      <c r="E328" s="73">
        <v>9197775023</v>
      </c>
      <c r="F328" s="39" t="s">
        <v>247</v>
      </c>
      <c r="G328" s="81">
        <v>36637</v>
      </c>
      <c r="H328" s="105" t="str">
        <f t="shared" si="26"/>
        <v>April</v>
      </c>
      <c r="I328" s="51">
        <f t="shared" ca="1" si="27"/>
        <v>16</v>
      </c>
      <c r="J328" s="52"/>
      <c r="K328" s="53">
        <v>57600</v>
      </c>
      <c r="L328" s="54">
        <v>3</v>
      </c>
    </row>
    <row r="329" spans="1:12" ht="15" x14ac:dyDescent="0.25">
      <c r="A329" s="39" t="s">
        <v>837</v>
      </c>
      <c r="B329" s="46" t="s">
        <v>285</v>
      </c>
      <c r="C329" s="39" t="s">
        <v>465</v>
      </c>
      <c r="D329" s="72">
        <v>399060898</v>
      </c>
      <c r="E329" s="73">
        <v>9195197037</v>
      </c>
      <c r="F329" s="39" t="s">
        <v>247</v>
      </c>
      <c r="G329" s="81">
        <v>38321</v>
      </c>
      <c r="H329" s="105" t="str">
        <f t="shared" si="26"/>
        <v>November</v>
      </c>
      <c r="I329" s="51">
        <f t="shared" ca="1" si="27"/>
        <v>11</v>
      </c>
      <c r="J329" s="52"/>
      <c r="K329" s="53">
        <v>37980</v>
      </c>
      <c r="L329" s="54">
        <v>4</v>
      </c>
    </row>
    <row r="330" spans="1:12" ht="15" x14ac:dyDescent="0.25">
      <c r="A330" s="39" t="s">
        <v>553</v>
      </c>
      <c r="B330" s="46" t="s">
        <v>285</v>
      </c>
      <c r="C330" s="39" t="s">
        <v>465</v>
      </c>
      <c r="D330" s="72">
        <v>337370590</v>
      </c>
      <c r="E330" s="73">
        <v>9197046530</v>
      </c>
      <c r="F330" s="39" t="s">
        <v>247</v>
      </c>
      <c r="G330" s="81">
        <v>38044</v>
      </c>
      <c r="H330" s="105" t="str">
        <f t="shared" si="26"/>
        <v>February</v>
      </c>
      <c r="I330" s="51">
        <f t="shared" ca="1" si="27"/>
        <v>12</v>
      </c>
      <c r="J330" s="52"/>
      <c r="K330" s="53">
        <v>57410</v>
      </c>
      <c r="L330" s="54">
        <v>2</v>
      </c>
    </row>
    <row r="331" spans="1:12" ht="15" x14ac:dyDescent="0.25">
      <c r="A331" s="39" t="s">
        <v>906</v>
      </c>
      <c r="B331" s="46" t="s">
        <v>271</v>
      </c>
      <c r="C331" s="39" t="s">
        <v>465</v>
      </c>
      <c r="D331" s="72">
        <v>843064707</v>
      </c>
      <c r="E331" s="73">
        <v>9192687844</v>
      </c>
      <c r="F331" s="39" t="s">
        <v>247</v>
      </c>
      <c r="G331" s="103">
        <v>40680</v>
      </c>
      <c r="H331" s="105" t="str">
        <f t="shared" si="26"/>
        <v>May</v>
      </c>
      <c r="I331" s="51">
        <f t="shared" ca="1" si="27"/>
        <v>5</v>
      </c>
      <c r="J331" s="52"/>
      <c r="K331" s="53">
        <v>57110</v>
      </c>
      <c r="L331" s="54">
        <v>3</v>
      </c>
    </row>
    <row r="332" spans="1:12" ht="15" x14ac:dyDescent="0.25">
      <c r="A332" s="39" t="s">
        <v>635</v>
      </c>
      <c r="B332" s="46" t="s">
        <v>285</v>
      </c>
      <c r="C332" s="39" t="s">
        <v>465</v>
      </c>
      <c r="D332" s="72">
        <v>291715078</v>
      </c>
      <c r="E332" s="73">
        <v>9197662359</v>
      </c>
      <c r="F332" s="39" t="s">
        <v>256</v>
      </c>
      <c r="G332" s="81">
        <v>33613</v>
      </c>
      <c r="H332" s="105" t="str">
        <f t="shared" si="26"/>
        <v>January</v>
      </c>
      <c r="I332" s="51">
        <f t="shared" ca="1" si="27"/>
        <v>24</v>
      </c>
      <c r="J332" s="52" t="s">
        <v>586</v>
      </c>
      <c r="K332" s="53">
        <v>56900</v>
      </c>
      <c r="L332" s="54">
        <v>5</v>
      </c>
    </row>
    <row r="333" spans="1:12" ht="15" x14ac:dyDescent="0.25">
      <c r="A333" s="39" t="s">
        <v>313</v>
      </c>
      <c r="B333" s="46" t="s">
        <v>251</v>
      </c>
      <c r="C333" s="39" t="s">
        <v>465</v>
      </c>
      <c r="D333" s="72">
        <v>783624212</v>
      </c>
      <c r="E333" s="73">
        <v>9193164024</v>
      </c>
      <c r="F333" s="39" t="s">
        <v>261</v>
      </c>
      <c r="G333" s="81">
        <v>34583</v>
      </c>
      <c r="H333" s="105" t="str">
        <f t="shared" si="26"/>
        <v>September</v>
      </c>
      <c r="I333" s="51">
        <f t="shared" ca="1" si="27"/>
        <v>22</v>
      </c>
      <c r="J333" s="52" t="s">
        <v>262</v>
      </c>
      <c r="K333" s="53">
        <v>15260</v>
      </c>
      <c r="L333" s="54">
        <v>2</v>
      </c>
    </row>
    <row r="334" spans="1:12" ht="15" x14ac:dyDescent="0.25">
      <c r="A334" s="39" t="s">
        <v>760</v>
      </c>
      <c r="B334" s="46" t="s">
        <v>245</v>
      </c>
      <c r="C334" s="39" t="s">
        <v>465</v>
      </c>
      <c r="D334" s="72">
        <v>470935648</v>
      </c>
      <c r="E334" s="73">
        <v>9192053579</v>
      </c>
      <c r="F334" s="39" t="s">
        <v>247</v>
      </c>
      <c r="G334" s="81">
        <v>38537</v>
      </c>
      <c r="H334" s="105" t="str">
        <f t="shared" si="26"/>
        <v>July</v>
      </c>
      <c r="I334" s="51">
        <f t="shared" ca="1" si="27"/>
        <v>11</v>
      </c>
      <c r="J334" s="52"/>
      <c r="K334" s="53">
        <v>39680</v>
      </c>
      <c r="L334" s="54">
        <v>1</v>
      </c>
    </row>
    <row r="335" spans="1:12" ht="15" x14ac:dyDescent="0.25">
      <c r="A335" s="39" t="s">
        <v>813</v>
      </c>
      <c r="B335" s="46" t="s">
        <v>266</v>
      </c>
      <c r="C335" s="39" t="s">
        <v>465</v>
      </c>
      <c r="D335" s="72">
        <v>135965371</v>
      </c>
      <c r="E335" s="73">
        <v>9195592950</v>
      </c>
      <c r="F335" s="39" t="s">
        <v>256</v>
      </c>
      <c r="G335" s="81">
        <v>37936</v>
      </c>
      <c r="H335" s="105" t="str">
        <f t="shared" si="26"/>
        <v>November</v>
      </c>
      <c r="I335" s="51">
        <f t="shared" ca="1" si="27"/>
        <v>13</v>
      </c>
      <c r="J335" s="52" t="s">
        <v>283</v>
      </c>
      <c r="K335" s="53">
        <v>30920</v>
      </c>
      <c r="L335" s="54">
        <v>5</v>
      </c>
    </row>
    <row r="336" spans="1:12" ht="15" x14ac:dyDescent="0.25">
      <c r="A336" s="39" t="s">
        <v>286</v>
      </c>
      <c r="B336" s="46" t="s">
        <v>245</v>
      </c>
      <c r="C336" s="39" t="s">
        <v>465</v>
      </c>
      <c r="D336" s="72">
        <v>416394493</v>
      </c>
      <c r="E336" s="73">
        <v>2525228252</v>
      </c>
      <c r="F336" s="39" t="s">
        <v>256</v>
      </c>
      <c r="G336" s="81">
        <v>35938</v>
      </c>
      <c r="H336" s="105" t="str">
        <f t="shared" si="26"/>
        <v>May</v>
      </c>
      <c r="I336" s="51">
        <f t="shared" ca="1" si="27"/>
        <v>18</v>
      </c>
      <c r="J336" s="52" t="s">
        <v>267</v>
      </c>
      <c r="K336" s="53">
        <v>55450</v>
      </c>
      <c r="L336" s="54">
        <v>5</v>
      </c>
    </row>
    <row r="337" spans="1:12" ht="15" x14ac:dyDescent="0.25">
      <c r="A337" s="39" t="s">
        <v>423</v>
      </c>
      <c r="B337" s="46" t="s">
        <v>245</v>
      </c>
      <c r="C337" s="39" t="s">
        <v>465</v>
      </c>
      <c r="D337" s="72">
        <v>313128501</v>
      </c>
      <c r="E337" s="73">
        <v>9193184277</v>
      </c>
      <c r="F337" s="39" t="s">
        <v>252</v>
      </c>
      <c r="G337" s="81">
        <v>35490</v>
      </c>
      <c r="H337" s="105" t="str">
        <f t="shared" si="26"/>
        <v>March</v>
      </c>
      <c r="I337" s="51">
        <f t="shared" ca="1" si="27"/>
        <v>19</v>
      </c>
      <c r="J337" s="52"/>
      <c r="K337" s="53">
        <v>22472</v>
      </c>
      <c r="L337" s="54">
        <v>1</v>
      </c>
    </row>
    <row r="338" spans="1:12" ht="15" x14ac:dyDescent="0.25">
      <c r="A338" s="39" t="s">
        <v>460</v>
      </c>
      <c r="B338" s="46" t="s">
        <v>285</v>
      </c>
      <c r="C338" s="39" t="s">
        <v>465</v>
      </c>
      <c r="D338" s="72">
        <v>903618594</v>
      </c>
      <c r="E338" s="73">
        <v>9194733288</v>
      </c>
      <c r="F338" s="39" t="s">
        <v>256</v>
      </c>
      <c r="G338" s="81">
        <v>37866</v>
      </c>
      <c r="H338" s="105" t="str">
        <f t="shared" si="26"/>
        <v>September</v>
      </c>
      <c r="I338" s="51">
        <f t="shared" ca="1" si="27"/>
        <v>13</v>
      </c>
      <c r="J338" s="52" t="s">
        <v>262</v>
      </c>
      <c r="K338" s="53">
        <v>54230</v>
      </c>
      <c r="L338" s="54">
        <v>5</v>
      </c>
    </row>
    <row r="339" spans="1:12" ht="15" x14ac:dyDescent="0.25">
      <c r="A339" s="39" t="s">
        <v>911</v>
      </c>
      <c r="B339" s="46" t="s">
        <v>280</v>
      </c>
      <c r="C339" s="39" t="s">
        <v>465</v>
      </c>
      <c r="D339" s="72">
        <v>575270646</v>
      </c>
      <c r="E339" s="73">
        <v>9197819805</v>
      </c>
      <c r="F339" s="39" t="s">
        <v>256</v>
      </c>
      <c r="G339" s="81">
        <v>39348</v>
      </c>
      <c r="H339" s="105" t="str">
        <f t="shared" si="26"/>
        <v>September</v>
      </c>
      <c r="I339" s="51">
        <f t="shared" ca="1" si="27"/>
        <v>9</v>
      </c>
      <c r="J339" s="52" t="s">
        <v>257</v>
      </c>
      <c r="K339" s="53">
        <v>46220</v>
      </c>
      <c r="L339" s="54">
        <v>2</v>
      </c>
    </row>
    <row r="340" spans="1:12" ht="15" x14ac:dyDescent="0.25">
      <c r="A340" s="39" t="s">
        <v>481</v>
      </c>
      <c r="B340" s="46" t="s">
        <v>271</v>
      </c>
      <c r="C340" s="39" t="s">
        <v>465</v>
      </c>
      <c r="D340" s="72">
        <v>592631929</v>
      </c>
      <c r="E340" s="73">
        <v>2523922629</v>
      </c>
      <c r="F340" s="39" t="s">
        <v>247</v>
      </c>
      <c r="G340" s="81">
        <v>35349</v>
      </c>
      <c r="H340" s="105" t="str">
        <f t="shared" si="26"/>
        <v>October</v>
      </c>
      <c r="I340" s="51">
        <f t="shared" ca="1" si="27"/>
        <v>20</v>
      </c>
      <c r="J340" s="52"/>
      <c r="K340" s="53">
        <v>52940</v>
      </c>
      <c r="L340" s="54">
        <v>4</v>
      </c>
    </row>
    <row r="341" spans="1:12" ht="15" x14ac:dyDescent="0.25">
      <c r="A341" s="39" t="s">
        <v>615</v>
      </c>
      <c r="B341" s="46" t="s">
        <v>271</v>
      </c>
      <c r="C341" s="39" t="s">
        <v>465</v>
      </c>
      <c r="D341" s="72">
        <v>806508287</v>
      </c>
      <c r="E341" s="73">
        <v>2528801464</v>
      </c>
      <c r="F341" s="39" t="s">
        <v>256</v>
      </c>
      <c r="G341" s="81">
        <v>33631</v>
      </c>
      <c r="H341" s="105" t="str">
        <f t="shared" si="26"/>
        <v>January</v>
      </c>
      <c r="I341" s="51">
        <f t="shared" ca="1" si="27"/>
        <v>24</v>
      </c>
      <c r="J341" s="52" t="s">
        <v>257</v>
      </c>
      <c r="K341" s="53">
        <v>52940</v>
      </c>
      <c r="L341" s="54">
        <v>4</v>
      </c>
    </row>
    <row r="342" spans="1:12" ht="15" x14ac:dyDescent="0.25">
      <c r="A342" s="39" t="s">
        <v>722</v>
      </c>
      <c r="B342" s="46" t="s">
        <v>251</v>
      </c>
      <c r="C342" s="39" t="s">
        <v>465</v>
      </c>
      <c r="D342" s="72">
        <v>100679868</v>
      </c>
      <c r="E342" s="73">
        <v>9198082183</v>
      </c>
      <c r="F342" s="39" t="s">
        <v>261</v>
      </c>
      <c r="G342" s="81">
        <v>35807</v>
      </c>
      <c r="H342" s="105" t="str">
        <f t="shared" si="26"/>
        <v>January</v>
      </c>
      <c r="I342" s="51">
        <f t="shared" ca="1" si="27"/>
        <v>18</v>
      </c>
      <c r="J342" s="52" t="s">
        <v>257</v>
      </c>
      <c r="K342" s="53">
        <v>48835</v>
      </c>
      <c r="L342" s="54">
        <v>5</v>
      </c>
    </row>
    <row r="343" spans="1:12" ht="15" x14ac:dyDescent="0.25">
      <c r="A343" s="39" t="s">
        <v>680</v>
      </c>
      <c r="B343" s="46" t="s">
        <v>251</v>
      </c>
      <c r="C343" s="39" t="s">
        <v>465</v>
      </c>
      <c r="D343" s="72">
        <v>311883362</v>
      </c>
      <c r="E343" s="73">
        <v>2526505454</v>
      </c>
      <c r="F343" s="39" t="s">
        <v>247</v>
      </c>
      <c r="G343" s="81">
        <v>37326</v>
      </c>
      <c r="H343" s="105" t="str">
        <f t="shared" si="26"/>
        <v>March</v>
      </c>
      <c r="I343" s="51">
        <f t="shared" ca="1" si="27"/>
        <v>14</v>
      </c>
      <c r="J343" s="52"/>
      <c r="K343" s="53">
        <v>52770</v>
      </c>
      <c r="L343" s="54">
        <v>2</v>
      </c>
    </row>
    <row r="344" spans="1:12" ht="15" x14ac:dyDescent="0.25">
      <c r="A344" s="39" t="s">
        <v>593</v>
      </c>
      <c r="B344" s="46" t="s">
        <v>271</v>
      </c>
      <c r="C344" s="39" t="s">
        <v>465</v>
      </c>
      <c r="D344" s="72">
        <v>569701716</v>
      </c>
      <c r="E344" s="73">
        <v>2527461285</v>
      </c>
      <c r="F344" s="39" t="s">
        <v>261</v>
      </c>
      <c r="G344" s="81">
        <v>36177</v>
      </c>
      <c r="H344" s="105" t="str">
        <f t="shared" si="26"/>
        <v>January</v>
      </c>
      <c r="I344" s="51">
        <f t="shared" ca="1" si="27"/>
        <v>17</v>
      </c>
      <c r="J344" s="52" t="s">
        <v>267</v>
      </c>
      <c r="K344" s="53">
        <v>21670</v>
      </c>
      <c r="L344" s="54">
        <v>2</v>
      </c>
    </row>
    <row r="345" spans="1:12" ht="15" x14ac:dyDescent="0.25">
      <c r="A345" s="39" t="s">
        <v>1013</v>
      </c>
      <c r="B345" s="46" t="s">
        <v>271</v>
      </c>
      <c r="C345" s="39" t="s">
        <v>465</v>
      </c>
      <c r="D345" s="72">
        <v>665773893</v>
      </c>
      <c r="E345" s="73">
        <v>9198857217</v>
      </c>
      <c r="F345" s="39" t="s">
        <v>252</v>
      </c>
      <c r="G345" s="81">
        <v>40574</v>
      </c>
      <c r="H345" s="105" t="str">
        <f t="shared" si="26"/>
        <v>January</v>
      </c>
      <c r="I345" s="51">
        <f t="shared" ca="1" si="27"/>
        <v>5</v>
      </c>
      <c r="J345" s="52"/>
      <c r="K345" s="53">
        <v>28424</v>
      </c>
      <c r="L345" s="54">
        <v>4</v>
      </c>
    </row>
    <row r="346" spans="1:12" ht="15" x14ac:dyDescent="0.25">
      <c r="A346" s="39"/>
      <c r="B346" s="46"/>
      <c r="C346" s="111"/>
      <c r="D346" s="72"/>
      <c r="E346" s="73"/>
      <c r="F346" s="39"/>
      <c r="G346" s="81"/>
      <c r="H346" s="105"/>
      <c r="I346" s="51"/>
      <c r="J346" s="52"/>
      <c r="K346" s="53"/>
      <c r="L346" s="54"/>
    </row>
    <row r="347" spans="1:12" ht="15" x14ac:dyDescent="0.25">
      <c r="A347" s="39" t="s">
        <v>889</v>
      </c>
      <c r="B347" s="46" t="s">
        <v>245</v>
      </c>
      <c r="C347" s="39" t="s">
        <v>618</v>
      </c>
      <c r="D347" s="72">
        <v>292006053</v>
      </c>
      <c r="E347" s="73">
        <v>9197045091</v>
      </c>
      <c r="F347" s="39" t="s">
        <v>247</v>
      </c>
      <c r="G347" s="81">
        <v>36765</v>
      </c>
      <c r="H347" s="105" t="str">
        <f t="shared" ref="H347:H353" si="28">CHOOSE(MONTH(G347),"January","February","March","April","May","June","July","August","September","October","November","December")</f>
        <v>August</v>
      </c>
      <c r="I347" s="51">
        <f t="shared" ref="I347:I353" ca="1" si="29">DATEDIF(G347,TODAY(),"Y")</f>
        <v>16</v>
      </c>
      <c r="J347" s="52"/>
      <c r="K347" s="53">
        <v>74500</v>
      </c>
      <c r="L347" s="54">
        <v>4</v>
      </c>
    </row>
    <row r="348" spans="1:12" ht="15" x14ac:dyDescent="0.25">
      <c r="A348" s="39" t="s">
        <v>612</v>
      </c>
      <c r="B348" s="46" t="s">
        <v>245</v>
      </c>
      <c r="C348" s="39" t="s">
        <v>618</v>
      </c>
      <c r="D348" s="72">
        <v>620072502</v>
      </c>
      <c r="E348" s="73">
        <v>9191264013</v>
      </c>
      <c r="F348" s="39" t="s">
        <v>256</v>
      </c>
      <c r="G348" s="81">
        <v>39038</v>
      </c>
      <c r="H348" s="105" t="str">
        <f t="shared" si="28"/>
        <v>November</v>
      </c>
      <c r="I348" s="51">
        <f t="shared" ca="1" si="29"/>
        <v>9</v>
      </c>
      <c r="J348" s="52" t="s">
        <v>276</v>
      </c>
      <c r="K348" s="53">
        <v>71400</v>
      </c>
      <c r="L348" s="54">
        <v>4</v>
      </c>
    </row>
    <row r="349" spans="1:12" ht="15" x14ac:dyDescent="0.25">
      <c r="A349" s="39" t="s">
        <v>530</v>
      </c>
      <c r="B349" s="46" t="s">
        <v>280</v>
      </c>
      <c r="C349" s="39" t="s">
        <v>618</v>
      </c>
      <c r="D349" s="72">
        <v>742946482</v>
      </c>
      <c r="E349" s="73">
        <v>9197077326</v>
      </c>
      <c r="F349" s="39" t="s">
        <v>256</v>
      </c>
      <c r="G349" s="81">
        <v>33832</v>
      </c>
      <c r="H349" s="105" t="str">
        <f t="shared" si="28"/>
        <v>August</v>
      </c>
      <c r="I349" s="51">
        <f t="shared" ca="1" si="29"/>
        <v>24</v>
      </c>
      <c r="J349" s="52" t="s">
        <v>257</v>
      </c>
      <c r="K349" s="53">
        <v>39160</v>
      </c>
      <c r="L349" s="54">
        <v>3</v>
      </c>
    </row>
    <row r="350" spans="1:12" ht="15" x14ac:dyDescent="0.25">
      <c r="A350" s="39" t="s">
        <v>368</v>
      </c>
      <c r="B350" s="46" t="s">
        <v>266</v>
      </c>
      <c r="C350" s="39" t="s">
        <v>618</v>
      </c>
      <c r="D350" s="72">
        <v>380343690</v>
      </c>
      <c r="E350" s="73">
        <v>2523906310</v>
      </c>
      <c r="F350" s="39" t="s">
        <v>247</v>
      </c>
      <c r="G350" s="103">
        <v>40292</v>
      </c>
      <c r="H350" s="105" t="str">
        <f t="shared" si="28"/>
        <v>April</v>
      </c>
      <c r="I350" s="51">
        <f t="shared" ca="1" si="29"/>
        <v>6</v>
      </c>
      <c r="J350" s="52"/>
      <c r="K350" s="53">
        <v>61890</v>
      </c>
      <c r="L350" s="54">
        <v>2</v>
      </c>
    </row>
    <row r="351" spans="1:12" ht="15" x14ac:dyDescent="0.25">
      <c r="A351" s="45" t="s">
        <v>281</v>
      </c>
      <c r="B351" s="46" t="s">
        <v>251</v>
      </c>
      <c r="C351" s="39" t="s">
        <v>618</v>
      </c>
      <c r="D351" s="72">
        <v>370608224</v>
      </c>
      <c r="E351" s="73">
        <v>2521535362</v>
      </c>
      <c r="F351" s="39" t="s">
        <v>256</v>
      </c>
      <c r="G351" s="81">
        <v>37407</v>
      </c>
      <c r="H351" s="105" t="str">
        <f t="shared" si="28"/>
        <v>May</v>
      </c>
      <c r="I351" s="51">
        <f t="shared" ca="1" si="29"/>
        <v>14</v>
      </c>
      <c r="J351" s="52" t="s">
        <v>257</v>
      </c>
      <c r="K351" s="53">
        <v>59140</v>
      </c>
      <c r="L351" s="54">
        <v>5</v>
      </c>
    </row>
    <row r="352" spans="1:12" ht="15" x14ac:dyDescent="0.25">
      <c r="A352" s="39" t="s">
        <v>920</v>
      </c>
      <c r="B352" s="46" t="s">
        <v>285</v>
      </c>
      <c r="C352" s="39" t="s">
        <v>618</v>
      </c>
      <c r="D352" s="72">
        <v>214234804</v>
      </c>
      <c r="E352" s="73">
        <v>2528908079</v>
      </c>
      <c r="F352" s="39" t="s">
        <v>256</v>
      </c>
      <c r="G352" s="81">
        <v>37936</v>
      </c>
      <c r="H352" s="105" t="str">
        <f t="shared" si="28"/>
        <v>November</v>
      </c>
      <c r="I352" s="51">
        <f t="shared" ca="1" si="29"/>
        <v>13</v>
      </c>
      <c r="J352" s="52" t="s">
        <v>283</v>
      </c>
      <c r="K352" s="53">
        <v>53870</v>
      </c>
      <c r="L352" s="54">
        <v>2</v>
      </c>
    </row>
    <row r="353" spans="1:12" ht="15" x14ac:dyDescent="0.25">
      <c r="A353" s="39" t="s">
        <v>505</v>
      </c>
      <c r="B353" s="46" t="s">
        <v>266</v>
      </c>
      <c r="C353" s="39" t="s">
        <v>618</v>
      </c>
      <c r="D353" s="72">
        <v>723930767</v>
      </c>
      <c r="E353" s="73">
        <v>9191375297</v>
      </c>
      <c r="F353" s="39" t="s">
        <v>256</v>
      </c>
      <c r="G353" s="103">
        <v>40313</v>
      </c>
      <c r="H353" s="105" t="str">
        <f t="shared" si="28"/>
        <v>May</v>
      </c>
      <c r="I353" s="51">
        <f t="shared" ca="1" si="29"/>
        <v>6</v>
      </c>
      <c r="J353" s="52" t="s">
        <v>283</v>
      </c>
      <c r="K353" s="53">
        <v>27250</v>
      </c>
      <c r="L353" s="54">
        <v>5</v>
      </c>
    </row>
    <row r="354" spans="1:12" ht="15" x14ac:dyDescent="0.25">
      <c r="A354" s="39"/>
      <c r="B354" s="46"/>
      <c r="C354" s="111"/>
      <c r="D354" s="72"/>
      <c r="E354" s="73"/>
      <c r="F354" s="39"/>
      <c r="G354" s="103"/>
      <c r="H354" s="105"/>
      <c r="I354" s="51"/>
      <c r="J354" s="52"/>
      <c r="K354" s="53"/>
      <c r="L354" s="54"/>
    </row>
    <row r="355" spans="1:12" ht="15" x14ac:dyDescent="0.25">
      <c r="A355" s="39" t="s">
        <v>675</v>
      </c>
      <c r="B355" s="46" t="s">
        <v>245</v>
      </c>
      <c r="C355" s="39" t="s">
        <v>626</v>
      </c>
      <c r="D355" s="72">
        <v>662247915</v>
      </c>
      <c r="E355" s="73">
        <v>9194378387</v>
      </c>
      <c r="F355" s="39" t="s">
        <v>256</v>
      </c>
      <c r="G355" s="81">
        <v>36940</v>
      </c>
      <c r="H355" s="105" t="str">
        <f t="shared" ref="H355:H386" si="30">CHOOSE(MONTH(G355),"January","February","March","April","May","June","July","August","September","October","November","December")</f>
        <v>February</v>
      </c>
      <c r="I355" s="51">
        <f t="shared" ref="I355:I386" ca="1" si="31">DATEDIF(G355,TODAY(),"Y")</f>
        <v>15</v>
      </c>
      <c r="J355" s="52" t="s">
        <v>257</v>
      </c>
      <c r="K355" s="53">
        <v>48990</v>
      </c>
      <c r="L355" s="54">
        <v>5</v>
      </c>
    </row>
    <row r="356" spans="1:12" ht="15" x14ac:dyDescent="0.25">
      <c r="A356" s="39" t="s">
        <v>761</v>
      </c>
      <c r="B356" s="46" t="s">
        <v>245</v>
      </c>
      <c r="C356" s="39" t="s">
        <v>626</v>
      </c>
      <c r="D356" s="72">
        <v>343897392</v>
      </c>
      <c r="E356" s="73">
        <v>2526674988</v>
      </c>
      <c r="F356" s="39" t="s">
        <v>256</v>
      </c>
      <c r="G356" s="81">
        <v>35254</v>
      </c>
      <c r="H356" s="105" t="str">
        <f t="shared" si="30"/>
        <v>July</v>
      </c>
      <c r="I356" s="51">
        <f t="shared" ca="1" si="31"/>
        <v>20</v>
      </c>
      <c r="J356" s="52" t="s">
        <v>257</v>
      </c>
      <c r="K356" s="53">
        <v>48800</v>
      </c>
      <c r="L356" s="54">
        <v>4</v>
      </c>
    </row>
    <row r="357" spans="1:12" ht="15" x14ac:dyDescent="0.25">
      <c r="A357" s="39" t="s">
        <v>338</v>
      </c>
      <c r="B357" s="46" t="s">
        <v>285</v>
      </c>
      <c r="C357" s="39" t="s">
        <v>626</v>
      </c>
      <c r="D357" s="72">
        <v>751878224</v>
      </c>
      <c r="E357" s="73">
        <v>9194713628</v>
      </c>
      <c r="F357" s="39" t="s">
        <v>256</v>
      </c>
      <c r="G357" s="81">
        <v>33606</v>
      </c>
      <c r="H357" s="105" t="str">
        <f t="shared" si="30"/>
        <v>January</v>
      </c>
      <c r="I357" s="51">
        <f t="shared" ca="1" si="31"/>
        <v>24</v>
      </c>
      <c r="J357" s="52" t="s">
        <v>262</v>
      </c>
      <c r="K357" s="53">
        <v>87120</v>
      </c>
      <c r="L357" s="54">
        <v>3</v>
      </c>
    </row>
    <row r="358" spans="1:12" ht="15" x14ac:dyDescent="0.25">
      <c r="A358" s="39" t="s">
        <v>466</v>
      </c>
      <c r="B358" s="46" t="s">
        <v>245</v>
      </c>
      <c r="C358" s="39" t="s">
        <v>626</v>
      </c>
      <c r="D358" s="72">
        <v>261920277</v>
      </c>
      <c r="E358" s="73">
        <v>2524272773</v>
      </c>
      <c r="F358" s="39" t="s">
        <v>256</v>
      </c>
      <c r="G358" s="81">
        <v>35856</v>
      </c>
      <c r="H358" s="105" t="str">
        <f t="shared" si="30"/>
        <v>March</v>
      </c>
      <c r="I358" s="51">
        <f t="shared" ca="1" si="31"/>
        <v>18</v>
      </c>
      <c r="J358" s="52" t="s">
        <v>276</v>
      </c>
      <c r="K358" s="53">
        <v>86830</v>
      </c>
      <c r="L358" s="54">
        <v>3</v>
      </c>
    </row>
    <row r="359" spans="1:12" ht="15" x14ac:dyDescent="0.25">
      <c r="A359" s="39" t="s">
        <v>431</v>
      </c>
      <c r="B359" s="46" t="s">
        <v>285</v>
      </c>
      <c r="C359" s="39" t="s">
        <v>626</v>
      </c>
      <c r="D359" s="72">
        <v>443476169</v>
      </c>
      <c r="E359" s="73">
        <v>9195085809</v>
      </c>
      <c r="F359" s="39" t="s">
        <v>256</v>
      </c>
      <c r="G359" s="81">
        <v>34067</v>
      </c>
      <c r="H359" s="105" t="str">
        <f t="shared" si="30"/>
        <v>April</v>
      </c>
      <c r="I359" s="51">
        <f t="shared" ca="1" si="31"/>
        <v>23</v>
      </c>
      <c r="J359" s="52" t="s">
        <v>267</v>
      </c>
      <c r="K359" s="53">
        <v>86540</v>
      </c>
      <c r="L359" s="54">
        <v>4</v>
      </c>
    </row>
    <row r="360" spans="1:12" ht="15" x14ac:dyDescent="0.25">
      <c r="A360" s="39" t="s">
        <v>987</v>
      </c>
      <c r="B360" s="46" t="s">
        <v>245</v>
      </c>
      <c r="C360" s="39" t="s">
        <v>626</v>
      </c>
      <c r="D360" s="72">
        <v>259330447</v>
      </c>
      <c r="E360" s="73">
        <v>9195252544</v>
      </c>
      <c r="F360" s="39" t="s">
        <v>247</v>
      </c>
      <c r="G360" s="81">
        <v>36192</v>
      </c>
      <c r="H360" s="105" t="str">
        <f t="shared" si="30"/>
        <v>February</v>
      </c>
      <c r="I360" s="51">
        <f t="shared" ca="1" si="31"/>
        <v>17</v>
      </c>
      <c r="J360" s="52"/>
      <c r="K360" s="53">
        <v>47620</v>
      </c>
      <c r="L360" s="54">
        <v>5</v>
      </c>
    </row>
    <row r="361" spans="1:12" ht="15" x14ac:dyDescent="0.25">
      <c r="A361" s="39" t="s">
        <v>524</v>
      </c>
      <c r="B361" s="46" t="s">
        <v>271</v>
      </c>
      <c r="C361" s="39" t="s">
        <v>626</v>
      </c>
      <c r="D361" s="72">
        <v>597641409</v>
      </c>
      <c r="E361" s="73">
        <v>9196201509</v>
      </c>
      <c r="F361" s="39" t="s">
        <v>256</v>
      </c>
      <c r="G361" s="81">
        <v>35857</v>
      </c>
      <c r="H361" s="105" t="str">
        <f t="shared" si="30"/>
        <v>March</v>
      </c>
      <c r="I361" s="51">
        <f t="shared" ca="1" si="31"/>
        <v>18</v>
      </c>
      <c r="J361" s="52" t="s">
        <v>283</v>
      </c>
      <c r="K361" s="53">
        <v>82110</v>
      </c>
      <c r="L361" s="54">
        <v>3</v>
      </c>
    </row>
    <row r="362" spans="1:12" ht="15" x14ac:dyDescent="0.25">
      <c r="A362" s="39" t="s">
        <v>347</v>
      </c>
      <c r="B362" s="46" t="s">
        <v>280</v>
      </c>
      <c r="C362" s="39" t="s">
        <v>626</v>
      </c>
      <c r="D362" s="72">
        <v>991764142</v>
      </c>
      <c r="E362" s="73">
        <v>9192490678</v>
      </c>
      <c r="F362" s="39" t="s">
        <v>247</v>
      </c>
      <c r="G362" s="81">
        <v>34947</v>
      </c>
      <c r="H362" s="105" t="str">
        <f t="shared" si="30"/>
        <v>September</v>
      </c>
      <c r="I362" s="51">
        <f t="shared" ca="1" si="31"/>
        <v>21</v>
      </c>
      <c r="J362" s="52"/>
      <c r="K362" s="53">
        <v>81930</v>
      </c>
      <c r="L362" s="54">
        <v>5</v>
      </c>
    </row>
    <row r="363" spans="1:12" ht="15" x14ac:dyDescent="0.25">
      <c r="A363" s="39" t="s">
        <v>407</v>
      </c>
      <c r="B363" s="46" t="s">
        <v>285</v>
      </c>
      <c r="C363" s="39" t="s">
        <v>626</v>
      </c>
      <c r="D363" s="72">
        <v>983891302</v>
      </c>
      <c r="E363" s="73">
        <v>9191462245</v>
      </c>
      <c r="F363" s="39" t="s">
        <v>256</v>
      </c>
      <c r="G363" s="81">
        <v>35547</v>
      </c>
      <c r="H363" s="105" t="str">
        <f t="shared" si="30"/>
        <v>April</v>
      </c>
      <c r="I363" s="51">
        <f t="shared" ca="1" si="31"/>
        <v>19</v>
      </c>
      <c r="J363" s="52" t="s">
        <v>257</v>
      </c>
      <c r="K363" s="53">
        <v>81640</v>
      </c>
      <c r="L363" s="54">
        <v>4</v>
      </c>
    </row>
    <row r="364" spans="1:12" ht="15" x14ac:dyDescent="0.25">
      <c r="A364" s="39" t="s">
        <v>383</v>
      </c>
      <c r="B364" s="46" t="s">
        <v>280</v>
      </c>
      <c r="C364" s="39" t="s">
        <v>626</v>
      </c>
      <c r="D364" s="72">
        <v>357081517</v>
      </c>
      <c r="E364" s="73">
        <v>2527660273</v>
      </c>
      <c r="F364" s="39" t="s">
        <v>261</v>
      </c>
      <c r="G364" s="81">
        <v>36371</v>
      </c>
      <c r="H364" s="105" t="str">
        <f t="shared" si="30"/>
        <v>July</v>
      </c>
      <c r="I364" s="51">
        <f t="shared" ca="1" si="31"/>
        <v>17</v>
      </c>
      <c r="J364" s="52" t="s">
        <v>283</v>
      </c>
      <c r="K364" s="53">
        <v>26790</v>
      </c>
      <c r="L364" s="54">
        <v>2</v>
      </c>
    </row>
    <row r="365" spans="1:12" ht="15" x14ac:dyDescent="0.25">
      <c r="A365" s="39" t="s">
        <v>842</v>
      </c>
      <c r="B365" s="46" t="s">
        <v>285</v>
      </c>
      <c r="C365" s="39" t="s">
        <v>626</v>
      </c>
      <c r="D365" s="72">
        <v>567266382</v>
      </c>
      <c r="E365" s="73">
        <v>2521683770</v>
      </c>
      <c r="F365" s="39" t="s">
        <v>256</v>
      </c>
      <c r="G365" s="81">
        <v>36116</v>
      </c>
      <c r="H365" s="105" t="str">
        <f t="shared" si="30"/>
        <v>November</v>
      </c>
      <c r="I365" s="51">
        <f t="shared" ca="1" si="31"/>
        <v>17</v>
      </c>
      <c r="J365" s="52" t="s">
        <v>276</v>
      </c>
      <c r="K365" s="53">
        <v>49770</v>
      </c>
      <c r="L365" s="54">
        <v>1</v>
      </c>
    </row>
    <row r="366" spans="1:12" ht="15" x14ac:dyDescent="0.25">
      <c r="A366" s="39" t="s">
        <v>903</v>
      </c>
      <c r="B366" s="46" t="s">
        <v>245</v>
      </c>
      <c r="C366" s="39" t="s">
        <v>626</v>
      </c>
      <c r="D366" s="72">
        <v>499124019</v>
      </c>
      <c r="E366" s="73">
        <v>9195978858</v>
      </c>
      <c r="F366" s="39" t="s">
        <v>261</v>
      </c>
      <c r="G366" s="81">
        <v>36121</v>
      </c>
      <c r="H366" s="105" t="str">
        <f t="shared" si="30"/>
        <v>November</v>
      </c>
      <c r="I366" s="51">
        <f t="shared" ca="1" si="31"/>
        <v>17</v>
      </c>
      <c r="J366" s="52" t="s">
        <v>283</v>
      </c>
      <c r="K366" s="53">
        <v>28880</v>
      </c>
      <c r="L366" s="54">
        <v>3</v>
      </c>
    </row>
    <row r="367" spans="1:12" ht="15" x14ac:dyDescent="0.25">
      <c r="A367" s="39" t="s">
        <v>336</v>
      </c>
      <c r="B367" s="46" t="s">
        <v>271</v>
      </c>
      <c r="C367" s="39" t="s">
        <v>626</v>
      </c>
      <c r="D367" s="72">
        <v>393290045</v>
      </c>
      <c r="E367" s="73">
        <v>2525268508</v>
      </c>
      <c r="F367" s="39" t="s">
        <v>261</v>
      </c>
      <c r="G367" s="81">
        <v>37166</v>
      </c>
      <c r="H367" s="105" t="str">
        <f t="shared" si="30"/>
        <v>October</v>
      </c>
      <c r="I367" s="51">
        <f t="shared" ca="1" si="31"/>
        <v>15</v>
      </c>
      <c r="J367" s="52" t="s">
        <v>262</v>
      </c>
      <c r="K367" s="53">
        <v>47295</v>
      </c>
      <c r="L367" s="54">
        <v>4</v>
      </c>
    </row>
    <row r="368" spans="1:12" ht="15" x14ac:dyDescent="0.25">
      <c r="A368" s="39" t="s">
        <v>327</v>
      </c>
      <c r="B368" s="46" t="s">
        <v>266</v>
      </c>
      <c r="C368" s="39" t="s">
        <v>626</v>
      </c>
      <c r="D368" s="72">
        <v>355985853</v>
      </c>
      <c r="E368" s="73">
        <v>2525478716</v>
      </c>
      <c r="F368" s="39" t="s">
        <v>256</v>
      </c>
      <c r="G368" s="81">
        <v>36297</v>
      </c>
      <c r="H368" s="105" t="str">
        <f t="shared" si="30"/>
        <v>May</v>
      </c>
      <c r="I368" s="51">
        <f t="shared" ca="1" si="31"/>
        <v>17</v>
      </c>
      <c r="J368" s="52" t="s">
        <v>257</v>
      </c>
      <c r="K368" s="53">
        <v>46030</v>
      </c>
      <c r="L368" s="54">
        <v>2</v>
      </c>
    </row>
    <row r="369" spans="1:12" ht="15" x14ac:dyDescent="0.25">
      <c r="A369" s="39" t="s">
        <v>764</v>
      </c>
      <c r="B369" s="46" t="s">
        <v>266</v>
      </c>
      <c r="C369" s="39" t="s">
        <v>626</v>
      </c>
      <c r="D369" s="72">
        <v>466400098</v>
      </c>
      <c r="E369" s="73">
        <v>2524652136</v>
      </c>
      <c r="F369" s="39" t="s">
        <v>247</v>
      </c>
      <c r="G369" s="81">
        <v>34054</v>
      </c>
      <c r="H369" s="105" t="str">
        <f t="shared" si="30"/>
        <v>March</v>
      </c>
      <c r="I369" s="51">
        <f t="shared" ca="1" si="31"/>
        <v>23</v>
      </c>
      <c r="J369" s="52"/>
      <c r="K369" s="53">
        <v>29000</v>
      </c>
      <c r="L369" s="54">
        <v>5</v>
      </c>
    </row>
    <row r="370" spans="1:12" ht="15" x14ac:dyDescent="0.25">
      <c r="A370" s="39" t="s">
        <v>470</v>
      </c>
      <c r="B370" s="46" t="s">
        <v>271</v>
      </c>
      <c r="C370" s="39" t="s">
        <v>626</v>
      </c>
      <c r="D370" s="72">
        <v>626767704</v>
      </c>
      <c r="E370" s="73">
        <v>2526971022</v>
      </c>
      <c r="F370" s="39" t="s">
        <v>247</v>
      </c>
      <c r="G370" s="81">
        <v>35776</v>
      </c>
      <c r="H370" s="105" t="str">
        <f t="shared" si="30"/>
        <v>December</v>
      </c>
      <c r="I370" s="51">
        <f t="shared" ca="1" si="31"/>
        <v>18</v>
      </c>
      <c r="J370" s="52"/>
      <c r="K370" s="53">
        <v>77930</v>
      </c>
      <c r="L370" s="54">
        <v>5</v>
      </c>
    </row>
    <row r="371" spans="1:12" ht="15" x14ac:dyDescent="0.25">
      <c r="A371" s="39" t="s">
        <v>798</v>
      </c>
      <c r="B371" s="46" t="s">
        <v>271</v>
      </c>
      <c r="C371" s="39" t="s">
        <v>626</v>
      </c>
      <c r="D371" s="72">
        <v>999156829</v>
      </c>
      <c r="E371" s="73">
        <v>2521401774</v>
      </c>
      <c r="F371" s="39" t="s">
        <v>256</v>
      </c>
      <c r="G371" s="81">
        <v>40447</v>
      </c>
      <c r="H371" s="105" t="str">
        <f t="shared" si="30"/>
        <v>September</v>
      </c>
      <c r="I371" s="51">
        <f t="shared" ca="1" si="31"/>
        <v>6</v>
      </c>
      <c r="J371" s="52" t="s">
        <v>257</v>
      </c>
      <c r="K371" s="53">
        <v>33970</v>
      </c>
      <c r="L371" s="54">
        <v>4</v>
      </c>
    </row>
    <row r="372" spans="1:12" ht="15" x14ac:dyDescent="0.25">
      <c r="A372" s="39" t="s">
        <v>333</v>
      </c>
      <c r="B372" s="46" t="s">
        <v>271</v>
      </c>
      <c r="C372" s="39" t="s">
        <v>626</v>
      </c>
      <c r="D372" s="72">
        <v>168791562</v>
      </c>
      <c r="E372" s="73">
        <v>9194161772</v>
      </c>
      <c r="F372" s="39" t="s">
        <v>256</v>
      </c>
      <c r="G372" s="81">
        <v>40361</v>
      </c>
      <c r="H372" s="105" t="str">
        <f t="shared" si="30"/>
        <v>July</v>
      </c>
      <c r="I372" s="51">
        <f t="shared" ca="1" si="31"/>
        <v>6</v>
      </c>
      <c r="J372" s="52" t="s">
        <v>267</v>
      </c>
      <c r="K372" s="53">
        <v>75780</v>
      </c>
      <c r="L372" s="54">
        <v>2</v>
      </c>
    </row>
    <row r="373" spans="1:12" ht="15" x14ac:dyDescent="0.25">
      <c r="A373" s="39" t="s">
        <v>686</v>
      </c>
      <c r="B373" s="46" t="s">
        <v>285</v>
      </c>
      <c r="C373" s="39" t="s">
        <v>626</v>
      </c>
      <c r="D373" s="72">
        <v>254201611</v>
      </c>
      <c r="E373" s="73">
        <v>9197803578</v>
      </c>
      <c r="F373" s="39" t="s">
        <v>256</v>
      </c>
      <c r="G373" s="81">
        <v>34034</v>
      </c>
      <c r="H373" s="105" t="str">
        <f t="shared" si="30"/>
        <v>March</v>
      </c>
      <c r="I373" s="51">
        <f t="shared" ca="1" si="31"/>
        <v>23</v>
      </c>
      <c r="J373" s="52" t="s">
        <v>267</v>
      </c>
      <c r="K373" s="53">
        <v>45180</v>
      </c>
      <c r="L373" s="54">
        <v>5</v>
      </c>
    </row>
    <row r="374" spans="1:12" ht="15" x14ac:dyDescent="0.25">
      <c r="A374" s="39" t="s">
        <v>494</v>
      </c>
      <c r="B374" s="46" t="s">
        <v>271</v>
      </c>
      <c r="C374" s="39" t="s">
        <v>626</v>
      </c>
      <c r="D374" s="72">
        <v>400260342</v>
      </c>
      <c r="E374" s="73">
        <v>9196798743</v>
      </c>
      <c r="F374" s="39" t="s">
        <v>247</v>
      </c>
      <c r="G374" s="81">
        <v>39283</v>
      </c>
      <c r="H374" s="105" t="str">
        <f t="shared" si="30"/>
        <v>July</v>
      </c>
      <c r="I374" s="51">
        <f t="shared" ca="1" si="31"/>
        <v>9</v>
      </c>
      <c r="J374" s="52"/>
      <c r="K374" s="53">
        <v>74470</v>
      </c>
      <c r="L374" s="54">
        <v>3</v>
      </c>
    </row>
    <row r="375" spans="1:12" ht="15" x14ac:dyDescent="0.25">
      <c r="A375" s="39" t="s">
        <v>712</v>
      </c>
      <c r="B375" s="46" t="s">
        <v>251</v>
      </c>
      <c r="C375" s="39" t="s">
        <v>626</v>
      </c>
      <c r="D375" s="72">
        <v>159415552</v>
      </c>
      <c r="E375" s="73">
        <v>9194221208</v>
      </c>
      <c r="F375" s="39" t="s">
        <v>256</v>
      </c>
      <c r="G375" s="81">
        <v>33765</v>
      </c>
      <c r="H375" s="105" t="str">
        <f t="shared" si="30"/>
        <v>June</v>
      </c>
      <c r="I375" s="51">
        <f t="shared" ca="1" si="31"/>
        <v>24</v>
      </c>
      <c r="J375" s="52" t="s">
        <v>262</v>
      </c>
      <c r="K375" s="53">
        <v>73930</v>
      </c>
      <c r="L375" s="54">
        <v>1</v>
      </c>
    </row>
    <row r="376" spans="1:12" ht="15" x14ac:dyDescent="0.25">
      <c r="A376" s="39" t="s">
        <v>345</v>
      </c>
      <c r="B376" s="46" t="s">
        <v>245</v>
      </c>
      <c r="C376" s="39" t="s">
        <v>626</v>
      </c>
      <c r="D376" s="72">
        <v>738946277</v>
      </c>
      <c r="E376" s="73">
        <v>9194331646</v>
      </c>
      <c r="F376" s="39" t="s">
        <v>256</v>
      </c>
      <c r="G376" s="81">
        <v>33223</v>
      </c>
      <c r="H376" s="105" t="str">
        <f t="shared" si="30"/>
        <v>December</v>
      </c>
      <c r="I376" s="51">
        <f t="shared" ca="1" si="31"/>
        <v>25</v>
      </c>
      <c r="J376" s="52" t="s">
        <v>262</v>
      </c>
      <c r="K376" s="53">
        <v>31260</v>
      </c>
      <c r="L376" s="54">
        <v>5</v>
      </c>
    </row>
    <row r="377" spans="1:12" ht="15" x14ac:dyDescent="0.25">
      <c r="A377" s="39" t="s">
        <v>826</v>
      </c>
      <c r="B377" s="46" t="s">
        <v>285</v>
      </c>
      <c r="C377" s="39" t="s">
        <v>626</v>
      </c>
      <c r="D377" s="72">
        <v>364404060</v>
      </c>
      <c r="E377" s="73">
        <v>2527722509</v>
      </c>
      <c r="F377" s="39" t="s">
        <v>261</v>
      </c>
      <c r="G377" s="81">
        <v>38362</v>
      </c>
      <c r="H377" s="105" t="str">
        <f t="shared" si="30"/>
        <v>January</v>
      </c>
      <c r="I377" s="51">
        <f t="shared" ca="1" si="31"/>
        <v>11</v>
      </c>
      <c r="J377" s="52" t="s">
        <v>257</v>
      </c>
      <c r="K377" s="53">
        <v>31255</v>
      </c>
      <c r="L377" s="54">
        <v>5</v>
      </c>
    </row>
    <row r="378" spans="1:12" ht="15" x14ac:dyDescent="0.25">
      <c r="A378" s="39" t="s">
        <v>934</v>
      </c>
      <c r="B378" s="46" t="s">
        <v>271</v>
      </c>
      <c r="C378" s="39" t="s">
        <v>626</v>
      </c>
      <c r="D378" s="72">
        <v>555025137</v>
      </c>
      <c r="E378" s="73">
        <v>2526565171</v>
      </c>
      <c r="F378" s="39" t="s">
        <v>261</v>
      </c>
      <c r="G378" s="81">
        <v>33319</v>
      </c>
      <c r="H378" s="105" t="str">
        <f t="shared" si="30"/>
        <v>March</v>
      </c>
      <c r="I378" s="51">
        <f t="shared" ca="1" si="31"/>
        <v>25</v>
      </c>
      <c r="J378" s="52" t="s">
        <v>267</v>
      </c>
      <c r="K378" s="53">
        <v>13090</v>
      </c>
      <c r="L378" s="54">
        <v>4</v>
      </c>
    </row>
    <row r="379" spans="1:12" ht="15" x14ac:dyDescent="0.25">
      <c r="A379" s="39" t="s">
        <v>783</v>
      </c>
      <c r="B379" s="46" t="s">
        <v>245</v>
      </c>
      <c r="C379" s="39" t="s">
        <v>626</v>
      </c>
      <c r="D379" s="72">
        <v>948189231</v>
      </c>
      <c r="E379" s="73">
        <v>2527687161</v>
      </c>
      <c r="F379" s="39" t="s">
        <v>256</v>
      </c>
      <c r="G379" s="81">
        <v>33702</v>
      </c>
      <c r="H379" s="105" t="str">
        <f t="shared" si="30"/>
        <v>April</v>
      </c>
      <c r="I379" s="51">
        <f t="shared" ca="1" si="31"/>
        <v>24</v>
      </c>
      <c r="J379" s="52" t="s">
        <v>257</v>
      </c>
      <c r="K379" s="53">
        <v>37020</v>
      </c>
      <c r="L379" s="54">
        <v>2</v>
      </c>
    </row>
    <row r="380" spans="1:12" ht="15" x14ac:dyDescent="0.25">
      <c r="A380" s="39" t="s">
        <v>891</v>
      </c>
      <c r="B380" s="46" t="s">
        <v>245</v>
      </c>
      <c r="C380" s="39" t="s">
        <v>626</v>
      </c>
      <c r="D380" s="72">
        <v>917714039</v>
      </c>
      <c r="E380" s="73">
        <v>9194402150</v>
      </c>
      <c r="F380" s="39" t="s">
        <v>256</v>
      </c>
      <c r="G380" s="81">
        <v>35220</v>
      </c>
      <c r="H380" s="105" t="str">
        <f t="shared" si="30"/>
        <v>June</v>
      </c>
      <c r="I380" s="51">
        <f t="shared" ca="1" si="31"/>
        <v>20</v>
      </c>
      <c r="J380" s="52" t="s">
        <v>267</v>
      </c>
      <c r="K380" s="53">
        <v>70480</v>
      </c>
      <c r="L380" s="54">
        <v>4</v>
      </c>
    </row>
    <row r="381" spans="1:12" ht="15" x14ac:dyDescent="0.25">
      <c r="A381" s="39" t="s">
        <v>565</v>
      </c>
      <c r="B381" s="46" t="s">
        <v>285</v>
      </c>
      <c r="C381" s="39" t="s">
        <v>626</v>
      </c>
      <c r="D381" s="72">
        <v>643272576</v>
      </c>
      <c r="E381" s="73">
        <v>2522256131</v>
      </c>
      <c r="F381" s="39" t="s">
        <v>252</v>
      </c>
      <c r="G381" s="81">
        <v>33305</v>
      </c>
      <c r="H381" s="105" t="str">
        <f t="shared" si="30"/>
        <v>March</v>
      </c>
      <c r="I381" s="51">
        <f t="shared" ca="1" si="31"/>
        <v>25</v>
      </c>
      <c r="J381" s="52"/>
      <c r="K381" s="53">
        <v>36844</v>
      </c>
      <c r="L381" s="54">
        <v>4</v>
      </c>
    </row>
    <row r="382" spans="1:12" ht="15" x14ac:dyDescent="0.25">
      <c r="A382" s="39" t="s">
        <v>794</v>
      </c>
      <c r="B382" s="46" t="s">
        <v>251</v>
      </c>
      <c r="C382" s="39" t="s">
        <v>626</v>
      </c>
      <c r="D382" s="72">
        <v>154984918</v>
      </c>
      <c r="E382" s="73">
        <v>2521575684</v>
      </c>
      <c r="F382" s="39" t="s">
        <v>256</v>
      </c>
      <c r="G382" s="81">
        <v>33407</v>
      </c>
      <c r="H382" s="105" t="str">
        <f t="shared" si="30"/>
        <v>June</v>
      </c>
      <c r="I382" s="51">
        <f t="shared" ca="1" si="31"/>
        <v>25</v>
      </c>
      <c r="J382" s="52" t="s">
        <v>257</v>
      </c>
      <c r="K382" s="53">
        <v>22900</v>
      </c>
      <c r="L382" s="54">
        <v>1</v>
      </c>
    </row>
    <row r="383" spans="1:12" ht="15" x14ac:dyDescent="0.25">
      <c r="A383" s="39" t="s">
        <v>322</v>
      </c>
      <c r="B383" s="46" t="s">
        <v>266</v>
      </c>
      <c r="C383" s="39" t="s">
        <v>626</v>
      </c>
      <c r="D383" s="72">
        <v>506165137</v>
      </c>
      <c r="E383" s="73">
        <v>9193613417</v>
      </c>
      <c r="F383" s="39" t="s">
        <v>256</v>
      </c>
      <c r="G383" s="81">
        <v>40083</v>
      </c>
      <c r="H383" s="105" t="str">
        <f t="shared" si="30"/>
        <v>September</v>
      </c>
      <c r="I383" s="51">
        <f t="shared" ca="1" si="31"/>
        <v>7</v>
      </c>
      <c r="J383" s="52" t="s">
        <v>283</v>
      </c>
      <c r="K383" s="53">
        <v>44150</v>
      </c>
      <c r="L383" s="54">
        <v>4</v>
      </c>
    </row>
    <row r="384" spans="1:12" ht="15" x14ac:dyDescent="0.25">
      <c r="A384" s="39" t="s">
        <v>658</v>
      </c>
      <c r="B384" s="46" t="s">
        <v>285</v>
      </c>
      <c r="C384" s="39" t="s">
        <v>626</v>
      </c>
      <c r="D384" s="72">
        <v>385074661</v>
      </c>
      <c r="E384" s="73">
        <v>2527451745</v>
      </c>
      <c r="F384" s="39" t="s">
        <v>256</v>
      </c>
      <c r="G384" s="81">
        <v>34875</v>
      </c>
      <c r="H384" s="105" t="str">
        <f t="shared" si="30"/>
        <v>June</v>
      </c>
      <c r="I384" s="51">
        <f t="shared" ca="1" si="31"/>
        <v>21</v>
      </c>
      <c r="J384" s="52" t="s">
        <v>276</v>
      </c>
      <c r="K384" s="53">
        <v>66920</v>
      </c>
      <c r="L384" s="54">
        <v>2</v>
      </c>
    </row>
    <row r="385" spans="1:12" ht="15" x14ac:dyDescent="0.25">
      <c r="A385" s="39" t="s">
        <v>727</v>
      </c>
      <c r="B385" s="46" t="s">
        <v>271</v>
      </c>
      <c r="C385" s="39" t="s">
        <v>626</v>
      </c>
      <c r="D385" s="72">
        <v>649234799</v>
      </c>
      <c r="E385" s="73">
        <v>2521588597</v>
      </c>
      <c r="F385" s="39" t="s">
        <v>256</v>
      </c>
      <c r="G385" s="81">
        <v>40209</v>
      </c>
      <c r="H385" s="105" t="str">
        <f t="shared" si="30"/>
        <v>January</v>
      </c>
      <c r="I385" s="51">
        <f t="shared" ca="1" si="31"/>
        <v>6</v>
      </c>
      <c r="J385" s="52" t="s">
        <v>283</v>
      </c>
      <c r="K385" s="53">
        <v>45260</v>
      </c>
      <c r="L385" s="54">
        <v>4</v>
      </c>
    </row>
    <row r="386" spans="1:12" ht="15" x14ac:dyDescent="0.25">
      <c r="A386" s="39" t="s">
        <v>1009</v>
      </c>
      <c r="B386" s="46" t="s">
        <v>285</v>
      </c>
      <c r="C386" s="39" t="s">
        <v>626</v>
      </c>
      <c r="D386" s="72">
        <v>422957475</v>
      </c>
      <c r="E386" s="73">
        <v>2524273090</v>
      </c>
      <c r="F386" s="39" t="s">
        <v>256</v>
      </c>
      <c r="G386" s="81">
        <v>34177</v>
      </c>
      <c r="H386" s="105" t="str">
        <f t="shared" si="30"/>
        <v>July</v>
      </c>
      <c r="I386" s="51">
        <f t="shared" ca="1" si="31"/>
        <v>23</v>
      </c>
      <c r="J386" s="52" t="s">
        <v>283</v>
      </c>
      <c r="K386" s="53">
        <v>65250</v>
      </c>
      <c r="L386" s="54">
        <v>2</v>
      </c>
    </row>
    <row r="387" spans="1:12" ht="15" x14ac:dyDescent="0.25">
      <c r="A387" s="39" t="s">
        <v>807</v>
      </c>
      <c r="B387" s="46" t="s">
        <v>285</v>
      </c>
      <c r="C387" s="39" t="s">
        <v>626</v>
      </c>
      <c r="D387" s="72">
        <v>479081328</v>
      </c>
      <c r="E387" s="73">
        <v>2525368383</v>
      </c>
      <c r="F387" s="39" t="s">
        <v>247</v>
      </c>
      <c r="G387" s="81">
        <v>35682</v>
      </c>
      <c r="H387" s="105" t="str">
        <f t="shared" ref="H387:H405" si="32">CHOOSE(MONTH(G387),"January","February","March","April","May","June","July","August","September","October","November","December")</f>
        <v>September</v>
      </c>
      <c r="I387" s="51">
        <f t="shared" ref="I387:I405" ca="1" si="33">DATEDIF(G387,TODAY(),"Y")</f>
        <v>19</v>
      </c>
      <c r="J387" s="52"/>
      <c r="K387" s="53">
        <v>63850</v>
      </c>
      <c r="L387" s="54">
        <v>2</v>
      </c>
    </row>
    <row r="388" spans="1:12" ht="15" x14ac:dyDescent="0.25">
      <c r="A388" s="39" t="s">
        <v>503</v>
      </c>
      <c r="B388" s="46" t="s">
        <v>245</v>
      </c>
      <c r="C388" s="39" t="s">
        <v>626</v>
      </c>
      <c r="D388" s="72">
        <v>980960186</v>
      </c>
      <c r="E388" s="73">
        <v>9191517218</v>
      </c>
      <c r="F388" s="39" t="s">
        <v>261</v>
      </c>
      <c r="G388" s="81">
        <v>39098</v>
      </c>
      <c r="H388" s="105" t="str">
        <f t="shared" si="32"/>
        <v>January</v>
      </c>
      <c r="I388" s="51">
        <f t="shared" ca="1" si="33"/>
        <v>9</v>
      </c>
      <c r="J388" s="52" t="s">
        <v>283</v>
      </c>
      <c r="K388" s="53">
        <v>47705</v>
      </c>
      <c r="L388" s="54">
        <v>5</v>
      </c>
    </row>
    <row r="389" spans="1:12" ht="15" x14ac:dyDescent="0.25">
      <c r="A389" s="39" t="s">
        <v>518</v>
      </c>
      <c r="B389" s="46" t="s">
        <v>280</v>
      </c>
      <c r="C389" s="39" t="s">
        <v>626</v>
      </c>
      <c r="D389" s="72">
        <v>279097202</v>
      </c>
      <c r="E389" s="78">
        <v>9196844371</v>
      </c>
      <c r="F389" s="39" t="s">
        <v>256</v>
      </c>
      <c r="G389" s="81">
        <v>33247</v>
      </c>
      <c r="H389" s="105" t="str">
        <f t="shared" si="32"/>
        <v>January</v>
      </c>
      <c r="I389" s="51">
        <f t="shared" ca="1" si="33"/>
        <v>25</v>
      </c>
      <c r="J389" s="52" t="s">
        <v>257</v>
      </c>
      <c r="K389" s="53">
        <v>62740</v>
      </c>
      <c r="L389" s="54">
        <v>4</v>
      </c>
    </row>
    <row r="390" spans="1:12" ht="15" x14ac:dyDescent="0.25">
      <c r="A390" s="39" t="s">
        <v>683</v>
      </c>
      <c r="B390" s="46" t="s">
        <v>285</v>
      </c>
      <c r="C390" s="39" t="s">
        <v>626</v>
      </c>
      <c r="D390" s="72">
        <v>294161481</v>
      </c>
      <c r="E390" s="73">
        <v>2521201242</v>
      </c>
      <c r="F390" s="39" t="s">
        <v>261</v>
      </c>
      <c r="G390" s="81">
        <v>36094</v>
      </c>
      <c r="H390" s="105" t="str">
        <f t="shared" si="32"/>
        <v>October</v>
      </c>
      <c r="I390" s="51">
        <f t="shared" ca="1" si="33"/>
        <v>18</v>
      </c>
      <c r="J390" s="52" t="s">
        <v>257</v>
      </c>
      <c r="K390" s="53">
        <v>47885</v>
      </c>
      <c r="L390" s="54">
        <v>1</v>
      </c>
    </row>
    <row r="391" spans="1:12" ht="15" x14ac:dyDescent="0.25">
      <c r="A391" s="39" t="s">
        <v>915</v>
      </c>
      <c r="B391" s="46" t="s">
        <v>251</v>
      </c>
      <c r="C391" s="39" t="s">
        <v>626</v>
      </c>
      <c r="D391" s="72">
        <v>345817459</v>
      </c>
      <c r="E391" s="73">
        <v>9195594427</v>
      </c>
      <c r="F391" s="39" t="s">
        <v>247</v>
      </c>
      <c r="G391" s="81">
        <v>36199</v>
      </c>
      <c r="H391" s="105" t="str">
        <f t="shared" si="32"/>
        <v>February</v>
      </c>
      <c r="I391" s="51">
        <f t="shared" ca="1" si="33"/>
        <v>17</v>
      </c>
      <c r="J391" s="52"/>
      <c r="K391" s="53">
        <v>31270</v>
      </c>
      <c r="L391" s="54">
        <v>5</v>
      </c>
    </row>
    <row r="392" spans="1:12" ht="15" x14ac:dyDescent="0.25">
      <c r="A392" s="39" t="s">
        <v>926</v>
      </c>
      <c r="B392" s="46" t="s">
        <v>285</v>
      </c>
      <c r="C392" s="39" t="s">
        <v>626</v>
      </c>
      <c r="D392" s="72">
        <v>275102740</v>
      </c>
      <c r="E392" s="73">
        <v>2521620909</v>
      </c>
      <c r="F392" s="39" t="s">
        <v>256</v>
      </c>
      <c r="G392" s="81">
        <v>33695</v>
      </c>
      <c r="H392" s="105" t="str">
        <f t="shared" si="32"/>
        <v>April</v>
      </c>
      <c r="I392" s="51">
        <f t="shared" ca="1" si="33"/>
        <v>24</v>
      </c>
      <c r="J392" s="52" t="s">
        <v>262</v>
      </c>
      <c r="K392" s="53">
        <v>60560</v>
      </c>
      <c r="L392" s="54">
        <v>4</v>
      </c>
    </row>
    <row r="393" spans="1:12" ht="15" x14ac:dyDescent="0.25">
      <c r="A393" s="39" t="s">
        <v>392</v>
      </c>
      <c r="B393" s="46" t="s">
        <v>245</v>
      </c>
      <c r="C393" s="39" t="s">
        <v>626</v>
      </c>
      <c r="D393" s="72">
        <v>895408697</v>
      </c>
      <c r="E393" s="73">
        <v>2523383207</v>
      </c>
      <c r="F393" s="39" t="s">
        <v>256</v>
      </c>
      <c r="G393" s="81">
        <v>39157</v>
      </c>
      <c r="H393" s="105" t="str">
        <f t="shared" si="32"/>
        <v>March</v>
      </c>
      <c r="I393" s="51">
        <f t="shared" ca="1" si="33"/>
        <v>9</v>
      </c>
      <c r="J393" s="52" t="s">
        <v>283</v>
      </c>
      <c r="K393" s="53">
        <v>47610</v>
      </c>
      <c r="L393" s="54">
        <v>4</v>
      </c>
    </row>
    <row r="394" spans="1:12" ht="15" x14ac:dyDescent="0.25">
      <c r="A394" s="39" t="s">
        <v>823</v>
      </c>
      <c r="B394" s="46" t="s">
        <v>251</v>
      </c>
      <c r="C394" s="39" t="s">
        <v>626</v>
      </c>
      <c r="D394" s="72">
        <v>634954970</v>
      </c>
      <c r="E394" s="73">
        <v>9194900864</v>
      </c>
      <c r="F394" s="39" t="s">
        <v>256</v>
      </c>
      <c r="G394" s="81">
        <v>35282</v>
      </c>
      <c r="H394" s="105" t="str">
        <f t="shared" si="32"/>
        <v>August</v>
      </c>
      <c r="I394" s="51">
        <f t="shared" ca="1" si="33"/>
        <v>20</v>
      </c>
      <c r="J394" s="52" t="s">
        <v>257</v>
      </c>
      <c r="K394" s="53">
        <v>57560</v>
      </c>
      <c r="L394" s="54">
        <v>4</v>
      </c>
    </row>
    <row r="395" spans="1:12" ht="15" x14ac:dyDescent="0.25">
      <c r="A395" s="39" t="s">
        <v>468</v>
      </c>
      <c r="B395" s="46" t="s">
        <v>251</v>
      </c>
      <c r="C395" s="39" t="s">
        <v>626</v>
      </c>
      <c r="D395" s="72">
        <v>788451186</v>
      </c>
      <c r="E395" s="73">
        <v>9191682521</v>
      </c>
      <c r="F395" s="39" t="s">
        <v>247</v>
      </c>
      <c r="G395" s="81">
        <v>38496</v>
      </c>
      <c r="H395" s="105" t="str">
        <f t="shared" si="32"/>
        <v>May</v>
      </c>
      <c r="I395" s="51">
        <f t="shared" ca="1" si="33"/>
        <v>11</v>
      </c>
      <c r="J395" s="52"/>
      <c r="K395" s="53">
        <v>57520</v>
      </c>
      <c r="L395" s="54">
        <v>3</v>
      </c>
    </row>
    <row r="396" spans="1:12" ht="15" x14ac:dyDescent="0.25">
      <c r="A396" s="39" t="s">
        <v>656</v>
      </c>
      <c r="B396" s="46" t="s">
        <v>285</v>
      </c>
      <c r="C396" s="39" t="s">
        <v>626</v>
      </c>
      <c r="D396" s="72">
        <v>157257652</v>
      </c>
      <c r="E396" s="73">
        <v>9193262077</v>
      </c>
      <c r="F396" s="39" t="s">
        <v>247</v>
      </c>
      <c r="G396" s="81">
        <v>36703</v>
      </c>
      <c r="H396" s="105" t="str">
        <f t="shared" si="32"/>
        <v>June</v>
      </c>
      <c r="I396" s="51">
        <f t="shared" ca="1" si="33"/>
        <v>16</v>
      </c>
      <c r="J396" s="52"/>
      <c r="K396" s="53">
        <v>50200</v>
      </c>
      <c r="L396" s="54">
        <v>4</v>
      </c>
    </row>
    <row r="397" spans="1:12" ht="15" x14ac:dyDescent="0.25">
      <c r="A397" s="39" t="s">
        <v>594</v>
      </c>
      <c r="B397" s="46" t="s">
        <v>245</v>
      </c>
      <c r="C397" s="39" t="s">
        <v>626</v>
      </c>
      <c r="D397" s="72">
        <v>132016163</v>
      </c>
      <c r="E397" s="73">
        <v>2527726916</v>
      </c>
      <c r="F397" s="39" t="s">
        <v>261</v>
      </c>
      <c r="G397" s="81">
        <v>39871</v>
      </c>
      <c r="H397" s="105" t="str">
        <f t="shared" si="32"/>
        <v>February</v>
      </c>
      <c r="I397" s="51">
        <f t="shared" ca="1" si="33"/>
        <v>7</v>
      </c>
      <c r="J397" s="52" t="s">
        <v>267</v>
      </c>
      <c r="K397" s="53">
        <v>38575</v>
      </c>
      <c r="L397" s="54">
        <v>2</v>
      </c>
    </row>
    <row r="398" spans="1:12" ht="15" x14ac:dyDescent="0.25">
      <c r="A398" s="39" t="s">
        <v>555</v>
      </c>
      <c r="B398" s="46" t="s">
        <v>280</v>
      </c>
      <c r="C398" s="39" t="s">
        <v>626</v>
      </c>
      <c r="D398" s="72">
        <v>168147877</v>
      </c>
      <c r="E398" s="73">
        <v>9196530760</v>
      </c>
      <c r="F398" s="39" t="s">
        <v>261</v>
      </c>
      <c r="G398" s="81">
        <v>37141</v>
      </c>
      <c r="H398" s="105" t="str">
        <f t="shared" si="32"/>
        <v>September</v>
      </c>
      <c r="I398" s="51">
        <f t="shared" ca="1" si="33"/>
        <v>15</v>
      </c>
      <c r="J398" s="52" t="s">
        <v>276</v>
      </c>
      <c r="K398" s="53">
        <v>15910</v>
      </c>
      <c r="L398" s="54">
        <v>3</v>
      </c>
    </row>
    <row r="399" spans="1:12" ht="15" x14ac:dyDescent="0.25">
      <c r="A399" s="39" t="s">
        <v>485</v>
      </c>
      <c r="B399" s="46" t="s">
        <v>245</v>
      </c>
      <c r="C399" s="39" t="s">
        <v>626</v>
      </c>
      <c r="D399" s="72">
        <v>372693786</v>
      </c>
      <c r="E399" s="73">
        <v>9198211050</v>
      </c>
      <c r="F399" s="39" t="s">
        <v>261</v>
      </c>
      <c r="G399" s="81">
        <v>37138</v>
      </c>
      <c r="H399" s="105" t="str">
        <f t="shared" si="32"/>
        <v>September</v>
      </c>
      <c r="I399" s="51">
        <f t="shared" ca="1" si="33"/>
        <v>15</v>
      </c>
      <c r="J399" s="52" t="s">
        <v>262</v>
      </c>
      <c r="K399" s="53">
        <v>31110</v>
      </c>
      <c r="L399" s="54">
        <v>1</v>
      </c>
    </row>
    <row r="400" spans="1:12" ht="15" x14ac:dyDescent="0.25">
      <c r="A400" s="39" t="s">
        <v>629</v>
      </c>
      <c r="B400" s="46" t="s">
        <v>285</v>
      </c>
      <c r="C400" s="39" t="s">
        <v>626</v>
      </c>
      <c r="D400" s="72">
        <v>424800509</v>
      </c>
      <c r="E400" s="73">
        <v>2523986051</v>
      </c>
      <c r="F400" s="39" t="s">
        <v>256</v>
      </c>
      <c r="G400" s="81">
        <v>36463</v>
      </c>
      <c r="H400" s="105" t="str">
        <f t="shared" si="32"/>
        <v>October</v>
      </c>
      <c r="I400" s="51">
        <f t="shared" ca="1" si="33"/>
        <v>17</v>
      </c>
      <c r="J400" s="52" t="s">
        <v>257</v>
      </c>
      <c r="K400" s="53">
        <v>44220</v>
      </c>
      <c r="L400" s="54">
        <v>3</v>
      </c>
    </row>
    <row r="401" spans="1:12" ht="15" x14ac:dyDescent="0.25">
      <c r="A401" s="39" t="s">
        <v>672</v>
      </c>
      <c r="B401" s="46" t="s">
        <v>266</v>
      </c>
      <c r="C401" s="39" t="s">
        <v>626</v>
      </c>
      <c r="D401" s="72">
        <v>650784238</v>
      </c>
      <c r="E401" s="73">
        <v>9194679864</v>
      </c>
      <c r="F401" s="39" t="s">
        <v>247</v>
      </c>
      <c r="G401" s="81">
        <v>35518</v>
      </c>
      <c r="H401" s="105" t="str">
        <f t="shared" si="32"/>
        <v>March</v>
      </c>
      <c r="I401" s="51">
        <f t="shared" ca="1" si="33"/>
        <v>19</v>
      </c>
      <c r="J401" s="52"/>
      <c r="K401" s="53">
        <v>53870</v>
      </c>
      <c r="L401" s="54">
        <v>2</v>
      </c>
    </row>
    <row r="402" spans="1:12" ht="15" x14ac:dyDescent="0.25">
      <c r="A402" s="39" t="s">
        <v>382</v>
      </c>
      <c r="B402" s="46" t="s">
        <v>271</v>
      </c>
      <c r="C402" s="39" t="s">
        <v>626</v>
      </c>
      <c r="D402" s="72">
        <v>247406371</v>
      </c>
      <c r="E402" s="73">
        <v>9195299873</v>
      </c>
      <c r="F402" s="39" t="s">
        <v>261</v>
      </c>
      <c r="G402" s="81">
        <v>40351</v>
      </c>
      <c r="H402" s="105" t="str">
        <f t="shared" si="32"/>
        <v>June</v>
      </c>
      <c r="I402" s="51">
        <f t="shared" ca="1" si="33"/>
        <v>6</v>
      </c>
      <c r="J402" s="52" t="s">
        <v>283</v>
      </c>
      <c r="K402" s="53">
        <v>20040</v>
      </c>
      <c r="L402" s="54">
        <v>3</v>
      </c>
    </row>
    <row r="403" spans="1:12" ht="15" x14ac:dyDescent="0.25">
      <c r="A403" s="39" t="s">
        <v>723</v>
      </c>
      <c r="B403" s="46" t="s">
        <v>245</v>
      </c>
      <c r="C403" s="39" t="s">
        <v>626</v>
      </c>
      <c r="D403" s="72">
        <v>422929693</v>
      </c>
      <c r="E403" s="73">
        <v>9191487375</v>
      </c>
      <c r="F403" s="39" t="s">
        <v>256</v>
      </c>
      <c r="G403" s="81">
        <v>36662</v>
      </c>
      <c r="H403" s="105" t="str">
        <f t="shared" si="32"/>
        <v>May</v>
      </c>
      <c r="I403" s="51">
        <f t="shared" ca="1" si="33"/>
        <v>16</v>
      </c>
      <c r="J403" s="52" t="s">
        <v>283</v>
      </c>
      <c r="K403" s="53">
        <v>52490</v>
      </c>
      <c r="L403" s="54">
        <v>4</v>
      </c>
    </row>
    <row r="404" spans="1:12" ht="15" x14ac:dyDescent="0.25">
      <c r="A404" s="39" t="s">
        <v>649</v>
      </c>
      <c r="B404" s="46" t="s">
        <v>271</v>
      </c>
      <c r="C404" s="39" t="s">
        <v>626</v>
      </c>
      <c r="D404" s="72">
        <v>796685092</v>
      </c>
      <c r="E404" s="73">
        <v>2527469217</v>
      </c>
      <c r="F404" s="39" t="s">
        <v>256</v>
      </c>
      <c r="G404" s="81">
        <v>36456</v>
      </c>
      <c r="H404" s="105" t="str">
        <f t="shared" si="32"/>
        <v>October</v>
      </c>
      <c r="I404" s="51">
        <f t="shared" ca="1" si="33"/>
        <v>17</v>
      </c>
      <c r="J404" s="52" t="s">
        <v>283</v>
      </c>
      <c r="K404" s="53">
        <v>43460</v>
      </c>
      <c r="L404" s="54">
        <v>5</v>
      </c>
    </row>
    <row r="405" spans="1:12" ht="15" x14ac:dyDescent="0.25">
      <c r="A405" s="39" t="s">
        <v>801</v>
      </c>
      <c r="B405" s="46" t="s">
        <v>251</v>
      </c>
      <c r="C405" s="39" t="s">
        <v>626</v>
      </c>
      <c r="D405" s="72">
        <v>662974752</v>
      </c>
      <c r="E405" s="73">
        <v>2526040465</v>
      </c>
      <c r="F405" s="39" t="s">
        <v>256</v>
      </c>
      <c r="G405" s="81">
        <v>36392</v>
      </c>
      <c r="H405" s="105" t="str">
        <f t="shared" si="32"/>
        <v>August</v>
      </c>
      <c r="I405" s="51">
        <f t="shared" ca="1" si="33"/>
        <v>17</v>
      </c>
      <c r="J405" s="52" t="s">
        <v>283</v>
      </c>
      <c r="K405" s="53">
        <v>51410</v>
      </c>
      <c r="L405" s="54">
        <v>4</v>
      </c>
    </row>
    <row r="406" spans="1:12" ht="15" x14ac:dyDescent="0.25">
      <c r="A406" s="39"/>
      <c r="B406" s="46"/>
      <c r="C406" s="111"/>
      <c r="D406" s="72"/>
      <c r="E406" s="73"/>
      <c r="F406" s="39"/>
      <c r="G406" s="81"/>
      <c r="H406" s="105"/>
      <c r="I406" s="51"/>
      <c r="J406" s="52"/>
      <c r="K406" s="53"/>
      <c r="L406" s="54"/>
    </row>
    <row r="407" spans="1:12" ht="15" x14ac:dyDescent="0.25">
      <c r="A407" s="39" t="s">
        <v>922</v>
      </c>
      <c r="B407" s="46" t="s">
        <v>285</v>
      </c>
      <c r="C407" s="39" t="s">
        <v>678</v>
      </c>
      <c r="D407" s="72">
        <v>802700229</v>
      </c>
      <c r="E407" s="73">
        <v>2524264889</v>
      </c>
      <c r="F407" s="39" t="s">
        <v>256</v>
      </c>
      <c r="G407" s="81">
        <v>33904</v>
      </c>
      <c r="H407" s="105" t="str">
        <f t="shared" ref="H407:H427" si="34">CHOOSE(MONTH(G407),"January","February","March","April","May","June","July","August","September","October","November","December")</f>
        <v>October</v>
      </c>
      <c r="I407" s="51">
        <f t="shared" ref="I407:I427" ca="1" si="35">DATEDIF(G407,TODAY(),"Y")</f>
        <v>24</v>
      </c>
      <c r="J407" s="52" t="s">
        <v>262</v>
      </c>
      <c r="K407" s="53">
        <v>87980</v>
      </c>
      <c r="L407" s="54">
        <v>1</v>
      </c>
    </row>
    <row r="408" spans="1:12" ht="15" x14ac:dyDescent="0.25">
      <c r="A408" s="39" t="s">
        <v>644</v>
      </c>
      <c r="B408" s="46" t="s">
        <v>280</v>
      </c>
      <c r="C408" s="39" t="s">
        <v>678</v>
      </c>
      <c r="D408" s="72">
        <v>247555666</v>
      </c>
      <c r="E408" s="73">
        <v>2528183445</v>
      </c>
      <c r="F408" s="39" t="s">
        <v>256</v>
      </c>
      <c r="G408" s="81">
        <v>33617</v>
      </c>
      <c r="H408" s="105" t="str">
        <f t="shared" si="34"/>
        <v>January</v>
      </c>
      <c r="I408" s="51">
        <f t="shared" ca="1" si="35"/>
        <v>24</v>
      </c>
      <c r="J408" s="52" t="s">
        <v>257</v>
      </c>
      <c r="K408" s="53">
        <v>39110</v>
      </c>
      <c r="L408" s="54">
        <v>5</v>
      </c>
    </row>
    <row r="409" spans="1:12" ht="15" x14ac:dyDescent="0.25">
      <c r="A409" s="39" t="s">
        <v>441</v>
      </c>
      <c r="B409" s="46" t="s">
        <v>251</v>
      </c>
      <c r="C409" s="39" t="s">
        <v>678</v>
      </c>
      <c r="D409" s="72">
        <v>859204644</v>
      </c>
      <c r="E409" s="73">
        <v>9191617913</v>
      </c>
      <c r="F409" s="39" t="s">
        <v>247</v>
      </c>
      <c r="G409" s="81">
        <v>35724</v>
      </c>
      <c r="H409" s="105" t="str">
        <f t="shared" si="34"/>
        <v>October</v>
      </c>
      <c r="I409" s="51">
        <f t="shared" ca="1" si="35"/>
        <v>19</v>
      </c>
      <c r="J409" s="52"/>
      <c r="K409" s="53">
        <v>86470</v>
      </c>
      <c r="L409" s="54">
        <v>4</v>
      </c>
    </row>
    <row r="410" spans="1:12" ht="15" x14ac:dyDescent="0.25">
      <c r="A410" s="39" t="s">
        <v>542</v>
      </c>
      <c r="B410" s="46" t="s">
        <v>271</v>
      </c>
      <c r="C410" s="39" t="s">
        <v>678</v>
      </c>
      <c r="D410" s="72">
        <v>332302868</v>
      </c>
      <c r="E410" s="73">
        <v>9196109756</v>
      </c>
      <c r="F410" s="39" t="s">
        <v>256</v>
      </c>
      <c r="G410" s="81">
        <v>36175</v>
      </c>
      <c r="H410" s="105" t="str">
        <f t="shared" si="34"/>
        <v>January</v>
      </c>
      <c r="I410" s="51">
        <f t="shared" ca="1" si="35"/>
        <v>17</v>
      </c>
      <c r="J410" s="52" t="s">
        <v>283</v>
      </c>
      <c r="K410" s="53">
        <v>23520</v>
      </c>
      <c r="L410" s="54">
        <v>2</v>
      </c>
    </row>
    <row r="411" spans="1:12" ht="15" x14ac:dyDescent="0.25">
      <c r="A411" s="39" t="s">
        <v>337</v>
      </c>
      <c r="B411" s="46" t="s">
        <v>280</v>
      </c>
      <c r="C411" s="39" t="s">
        <v>678</v>
      </c>
      <c r="D411" s="72">
        <v>303641529</v>
      </c>
      <c r="E411" s="73">
        <v>9196753698</v>
      </c>
      <c r="F411" s="39" t="s">
        <v>261</v>
      </c>
      <c r="G411" s="81">
        <v>35150</v>
      </c>
      <c r="H411" s="105" t="str">
        <f t="shared" si="34"/>
        <v>March</v>
      </c>
      <c r="I411" s="51">
        <f t="shared" ca="1" si="35"/>
        <v>20</v>
      </c>
      <c r="J411" s="52" t="s">
        <v>257</v>
      </c>
      <c r="K411" s="53">
        <v>49405</v>
      </c>
      <c r="L411" s="54">
        <v>4</v>
      </c>
    </row>
    <row r="412" spans="1:12" ht="15" x14ac:dyDescent="0.25">
      <c r="A412" s="39" t="s">
        <v>720</v>
      </c>
      <c r="B412" s="46" t="s">
        <v>285</v>
      </c>
      <c r="C412" s="39" t="s">
        <v>678</v>
      </c>
      <c r="D412" s="72">
        <v>414905182</v>
      </c>
      <c r="E412" s="73">
        <v>9193820411</v>
      </c>
      <c r="F412" s="39" t="s">
        <v>256</v>
      </c>
      <c r="G412" s="81">
        <v>35121</v>
      </c>
      <c r="H412" s="105" t="str">
        <f t="shared" si="34"/>
        <v>February</v>
      </c>
      <c r="I412" s="51">
        <f t="shared" ca="1" si="35"/>
        <v>20</v>
      </c>
      <c r="J412" s="52" t="s">
        <v>283</v>
      </c>
      <c r="K412" s="53">
        <v>22860</v>
      </c>
      <c r="L412" s="54">
        <v>5</v>
      </c>
    </row>
    <row r="413" spans="1:12" ht="15" x14ac:dyDescent="0.25">
      <c r="A413" s="39" t="s">
        <v>300</v>
      </c>
      <c r="B413" s="46" t="s">
        <v>285</v>
      </c>
      <c r="C413" s="39" t="s">
        <v>678</v>
      </c>
      <c r="D413" s="72">
        <v>167646549</v>
      </c>
      <c r="E413" s="73">
        <v>9197187041</v>
      </c>
      <c r="F413" s="39" t="s">
        <v>247</v>
      </c>
      <c r="G413" s="81">
        <v>37803</v>
      </c>
      <c r="H413" s="105" t="str">
        <f t="shared" si="34"/>
        <v>July</v>
      </c>
      <c r="I413" s="51">
        <f t="shared" ca="1" si="35"/>
        <v>13</v>
      </c>
      <c r="J413" s="52"/>
      <c r="K413" s="53">
        <v>78100</v>
      </c>
      <c r="L413" s="54">
        <v>3</v>
      </c>
    </row>
    <row r="414" spans="1:12" ht="15" x14ac:dyDescent="0.25">
      <c r="A414" s="39" t="s">
        <v>622</v>
      </c>
      <c r="B414" s="46" t="s">
        <v>271</v>
      </c>
      <c r="C414" s="39" t="s">
        <v>678</v>
      </c>
      <c r="D414" s="72">
        <v>397835298</v>
      </c>
      <c r="E414" s="73">
        <v>9196795200</v>
      </c>
      <c r="F414" s="39" t="s">
        <v>247</v>
      </c>
      <c r="G414" s="81">
        <v>40372</v>
      </c>
      <c r="H414" s="105" t="str">
        <f t="shared" si="34"/>
        <v>July</v>
      </c>
      <c r="I414" s="51">
        <f t="shared" ca="1" si="35"/>
        <v>6</v>
      </c>
      <c r="J414" s="52"/>
      <c r="K414" s="53">
        <v>75100</v>
      </c>
      <c r="L414" s="54">
        <v>4</v>
      </c>
    </row>
    <row r="415" spans="1:12" ht="15" x14ac:dyDescent="0.25">
      <c r="A415" s="39" t="s">
        <v>326</v>
      </c>
      <c r="B415" s="46" t="s">
        <v>251</v>
      </c>
      <c r="C415" s="39" t="s">
        <v>678</v>
      </c>
      <c r="D415" s="72">
        <v>755945415</v>
      </c>
      <c r="E415" s="73">
        <v>2524373324</v>
      </c>
      <c r="F415" s="39" t="s">
        <v>247</v>
      </c>
      <c r="G415" s="81">
        <v>40333</v>
      </c>
      <c r="H415" s="105" t="str">
        <f t="shared" si="34"/>
        <v>June</v>
      </c>
      <c r="I415" s="51">
        <f t="shared" ca="1" si="35"/>
        <v>6</v>
      </c>
      <c r="J415" s="52"/>
      <c r="K415" s="53">
        <v>74020</v>
      </c>
      <c r="L415" s="54">
        <v>2</v>
      </c>
    </row>
    <row r="416" spans="1:12" ht="15" x14ac:dyDescent="0.25">
      <c r="A416" s="39" t="s">
        <v>353</v>
      </c>
      <c r="B416" s="46" t="s">
        <v>271</v>
      </c>
      <c r="C416" s="39" t="s">
        <v>678</v>
      </c>
      <c r="D416" s="72">
        <v>122440839</v>
      </c>
      <c r="E416" s="73">
        <v>2526525807</v>
      </c>
      <c r="F416" s="39" t="s">
        <v>261</v>
      </c>
      <c r="G416" s="81">
        <v>35961</v>
      </c>
      <c r="H416" s="105" t="str">
        <f t="shared" si="34"/>
        <v>June</v>
      </c>
      <c r="I416" s="51">
        <f t="shared" ca="1" si="35"/>
        <v>18</v>
      </c>
      <c r="J416" s="52" t="s">
        <v>257</v>
      </c>
      <c r="K416" s="53">
        <v>20500</v>
      </c>
      <c r="L416" s="54">
        <v>3</v>
      </c>
    </row>
    <row r="417" spans="1:12" ht="15" x14ac:dyDescent="0.25">
      <c r="A417" s="39" t="s">
        <v>409</v>
      </c>
      <c r="B417" s="46" t="s">
        <v>280</v>
      </c>
      <c r="C417" s="39" t="s">
        <v>678</v>
      </c>
      <c r="D417" s="72">
        <v>665006199</v>
      </c>
      <c r="E417" s="73">
        <v>2525555817</v>
      </c>
      <c r="F417" s="39" t="s">
        <v>256</v>
      </c>
      <c r="G417" s="81">
        <v>36567</v>
      </c>
      <c r="H417" s="105" t="str">
        <f t="shared" si="34"/>
        <v>February</v>
      </c>
      <c r="I417" s="51">
        <f t="shared" ca="1" si="35"/>
        <v>16</v>
      </c>
      <c r="J417" s="52" t="s">
        <v>276</v>
      </c>
      <c r="K417" s="53">
        <v>45450</v>
      </c>
      <c r="L417" s="54">
        <v>5</v>
      </c>
    </row>
    <row r="418" spans="1:12" ht="15" x14ac:dyDescent="0.25">
      <c r="A418" s="39" t="s">
        <v>814</v>
      </c>
      <c r="B418" s="46" t="s">
        <v>245</v>
      </c>
      <c r="C418" s="39" t="s">
        <v>678</v>
      </c>
      <c r="D418" s="72">
        <v>550291321</v>
      </c>
      <c r="E418" s="73">
        <v>9192529195</v>
      </c>
      <c r="F418" s="39" t="s">
        <v>247</v>
      </c>
      <c r="G418" s="81">
        <v>36047</v>
      </c>
      <c r="H418" s="105" t="str">
        <f t="shared" si="34"/>
        <v>September</v>
      </c>
      <c r="I418" s="51">
        <f t="shared" ca="1" si="35"/>
        <v>18</v>
      </c>
      <c r="J418" s="52"/>
      <c r="K418" s="53">
        <v>72480</v>
      </c>
      <c r="L418" s="54">
        <v>2</v>
      </c>
    </row>
    <row r="419" spans="1:12" ht="15" x14ac:dyDescent="0.25">
      <c r="A419" s="39" t="s">
        <v>551</v>
      </c>
      <c r="B419" s="46" t="s">
        <v>271</v>
      </c>
      <c r="C419" s="39" t="s">
        <v>678</v>
      </c>
      <c r="D419" s="72">
        <v>221364716</v>
      </c>
      <c r="E419" s="73">
        <v>2521389906</v>
      </c>
      <c r="F419" s="39" t="s">
        <v>256</v>
      </c>
      <c r="G419" s="81">
        <v>36898</v>
      </c>
      <c r="H419" s="105" t="str">
        <f t="shared" si="34"/>
        <v>January</v>
      </c>
      <c r="I419" s="51">
        <f t="shared" ca="1" si="35"/>
        <v>15</v>
      </c>
      <c r="J419" s="52" t="s">
        <v>257</v>
      </c>
      <c r="K419" s="53">
        <v>71820</v>
      </c>
      <c r="L419" s="54">
        <v>2</v>
      </c>
    </row>
    <row r="420" spans="1:12" ht="15" x14ac:dyDescent="0.25">
      <c r="A420" s="39" t="s">
        <v>473</v>
      </c>
      <c r="B420" s="46" t="s">
        <v>266</v>
      </c>
      <c r="C420" s="39" t="s">
        <v>678</v>
      </c>
      <c r="D420" s="72">
        <v>113377726</v>
      </c>
      <c r="E420" s="73">
        <v>9197494648</v>
      </c>
      <c r="F420" s="39" t="s">
        <v>256</v>
      </c>
      <c r="G420" s="81">
        <v>36466</v>
      </c>
      <c r="H420" s="105" t="str">
        <f t="shared" si="34"/>
        <v>November</v>
      </c>
      <c r="I420" s="51">
        <f t="shared" ca="1" si="35"/>
        <v>17</v>
      </c>
      <c r="J420" s="52" t="s">
        <v>283</v>
      </c>
      <c r="K420" s="53">
        <v>68410</v>
      </c>
      <c r="L420" s="54">
        <v>5</v>
      </c>
    </row>
    <row r="421" spans="1:12" ht="15" x14ac:dyDescent="0.25">
      <c r="A421" s="39" t="s">
        <v>637</v>
      </c>
      <c r="B421" s="46" t="s">
        <v>271</v>
      </c>
      <c r="C421" s="39" t="s">
        <v>678</v>
      </c>
      <c r="D421" s="72">
        <v>788832967</v>
      </c>
      <c r="E421" s="73">
        <v>2521919147</v>
      </c>
      <c r="F421" s="39" t="s">
        <v>252</v>
      </c>
      <c r="G421" s="81">
        <v>35381</v>
      </c>
      <c r="H421" s="105" t="str">
        <f t="shared" si="34"/>
        <v>November</v>
      </c>
      <c r="I421" s="51">
        <f t="shared" ca="1" si="35"/>
        <v>20</v>
      </c>
      <c r="J421" s="52"/>
      <c r="K421" s="53">
        <v>35312</v>
      </c>
      <c r="L421" s="54">
        <v>3</v>
      </c>
    </row>
    <row r="422" spans="1:12" ht="15" x14ac:dyDescent="0.25">
      <c r="A422" s="39" t="s">
        <v>909</v>
      </c>
      <c r="B422" s="46" t="s">
        <v>280</v>
      </c>
      <c r="C422" s="39" t="s">
        <v>678</v>
      </c>
      <c r="D422" s="72">
        <v>478004556</v>
      </c>
      <c r="E422" s="73">
        <v>9193891189</v>
      </c>
      <c r="F422" s="39" t="s">
        <v>256</v>
      </c>
      <c r="G422" s="81">
        <v>40533</v>
      </c>
      <c r="H422" s="105" t="str">
        <f t="shared" si="34"/>
        <v>December</v>
      </c>
      <c r="I422" s="51">
        <f t="shared" ca="1" si="35"/>
        <v>5</v>
      </c>
      <c r="J422" s="52" t="s">
        <v>276</v>
      </c>
      <c r="K422" s="53">
        <v>62180</v>
      </c>
      <c r="L422" s="54">
        <v>2</v>
      </c>
    </row>
    <row r="423" spans="1:12" ht="15" x14ac:dyDescent="0.25">
      <c r="A423" s="39" t="s">
        <v>728</v>
      </c>
      <c r="B423" s="46" t="s">
        <v>245</v>
      </c>
      <c r="C423" s="39" t="s">
        <v>678</v>
      </c>
      <c r="D423" s="72">
        <v>261486180</v>
      </c>
      <c r="E423" s="73">
        <v>2522523567</v>
      </c>
      <c r="F423" s="39" t="s">
        <v>247</v>
      </c>
      <c r="G423" s="81">
        <v>37236</v>
      </c>
      <c r="H423" s="105" t="str">
        <f t="shared" si="34"/>
        <v>December</v>
      </c>
      <c r="I423" s="51">
        <f t="shared" ca="1" si="35"/>
        <v>14</v>
      </c>
      <c r="J423" s="52"/>
      <c r="K423" s="53">
        <v>29540</v>
      </c>
      <c r="L423" s="54">
        <v>3</v>
      </c>
    </row>
    <row r="424" spans="1:12" ht="15" x14ac:dyDescent="0.25">
      <c r="A424" s="39" t="s">
        <v>967</v>
      </c>
      <c r="B424" s="46" t="s">
        <v>285</v>
      </c>
      <c r="C424" s="39" t="s">
        <v>678</v>
      </c>
      <c r="D424" s="72">
        <v>468953266</v>
      </c>
      <c r="E424" s="73">
        <v>9192126707</v>
      </c>
      <c r="F424" s="39" t="s">
        <v>256</v>
      </c>
      <c r="G424" s="81">
        <v>33741</v>
      </c>
      <c r="H424" s="105" t="str">
        <f t="shared" si="34"/>
        <v>May</v>
      </c>
      <c r="I424" s="51">
        <f t="shared" ca="1" si="35"/>
        <v>24</v>
      </c>
      <c r="J424" s="52" t="s">
        <v>257</v>
      </c>
      <c r="K424" s="53">
        <v>48550</v>
      </c>
      <c r="L424" s="54">
        <v>5</v>
      </c>
    </row>
    <row r="425" spans="1:12" ht="15" x14ac:dyDescent="0.25">
      <c r="A425" s="39" t="s">
        <v>299</v>
      </c>
      <c r="B425" s="46" t="s">
        <v>271</v>
      </c>
      <c r="C425" s="39" t="s">
        <v>678</v>
      </c>
      <c r="D425" s="72">
        <v>797431044</v>
      </c>
      <c r="E425" s="73">
        <v>2523820613</v>
      </c>
      <c r="F425" s="39" t="s">
        <v>252</v>
      </c>
      <c r="G425" s="81">
        <v>36084</v>
      </c>
      <c r="H425" s="105" t="str">
        <f t="shared" si="34"/>
        <v>October</v>
      </c>
      <c r="I425" s="51">
        <f t="shared" ca="1" si="35"/>
        <v>18</v>
      </c>
      <c r="J425" s="52"/>
      <c r="K425" s="53">
        <v>21668</v>
      </c>
      <c r="L425" s="54">
        <v>4</v>
      </c>
    </row>
    <row r="426" spans="1:12" ht="15" x14ac:dyDescent="0.25">
      <c r="A426" s="39" t="s">
        <v>387</v>
      </c>
      <c r="B426" s="46" t="s">
        <v>266</v>
      </c>
      <c r="C426" s="39" t="s">
        <v>678</v>
      </c>
      <c r="D426" s="72">
        <v>917195248</v>
      </c>
      <c r="E426" s="73">
        <v>9194605984</v>
      </c>
      <c r="F426" s="39" t="s">
        <v>252</v>
      </c>
      <c r="G426" s="81">
        <v>37827</v>
      </c>
      <c r="H426" s="105" t="str">
        <f t="shared" si="34"/>
        <v>July</v>
      </c>
      <c r="I426" s="51">
        <f t="shared" ca="1" si="35"/>
        <v>13</v>
      </c>
      <c r="J426" s="52"/>
      <c r="K426" s="53">
        <v>11044</v>
      </c>
      <c r="L426" s="54">
        <v>2</v>
      </c>
    </row>
    <row r="427" spans="1:12" ht="15" x14ac:dyDescent="0.25">
      <c r="A427" s="39" t="s">
        <v>852</v>
      </c>
      <c r="B427" s="46" t="s">
        <v>285</v>
      </c>
      <c r="C427" s="39" t="s">
        <v>678</v>
      </c>
      <c r="D427" s="72">
        <v>557568959</v>
      </c>
      <c r="E427" s="73">
        <v>9192783818</v>
      </c>
      <c r="F427" s="39" t="s">
        <v>247</v>
      </c>
      <c r="G427" s="81">
        <v>35447</v>
      </c>
      <c r="H427" s="105" t="str">
        <f t="shared" si="34"/>
        <v>January</v>
      </c>
      <c r="I427" s="51">
        <f t="shared" ca="1" si="35"/>
        <v>19</v>
      </c>
      <c r="J427" s="52"/>
      <c r="K427" s="53">
        <v>54190</v>
      </c>
      <c r="L427" s="54">
        <v>4</v>
      </c>
    </row>
    <row r="428" spans="1:12" ht="15" x14ac:dyDescent="0.25">
      <c r="A428" s="39"/>
      <c r="B428" s="46"/>
      <c r="C428" s="111"/>
      <c r="D428" s="72"/>
      <c r="E428" s="73"/>
      <c r="F428" s="39"/>
      <c r="G428" s="81"/>
      <c r="H428" s="105"/>
      <c r="I428" s="51"/>
      <c r="J428" s="52"/>
      <c r="K428" s="53"/>
      <c r="L428" s="54"/>
    </row>
    <row r="429" spans="1:12" ht="15" x14ac:dyDescent="0.25">
      <c r="A429" s="39" t="s">
        <v>554</v>
      </c>
      <c r="B429" s="46" t="s">
        <v>245</v>
      </c>
      <c r="C429" s="39" t="s">
        <v>700</v>
      </c>
      <c r="D429" s="72">
        <v>252582122</v>
      </c>
      <c r="E429" s="73">
        <v>9197764351</v>
      </c>
      <c r="F429" s="39" t="s">
        <v>247</v>
      </c>
      <c r="G429" s="81">
        <v>35451</v>
      </c>
      <c r="H429" s="105" t="str">
        <f>CHOOSE(MONTH(G429),"January","February","March","April","May","June","July","August","September","October","November","December")</f>
        <v>January</v>
      </c>
      <c r="I429" s="51">
        <f ca="1">DATEDIF(G429,TODAY(),"Y")</f>
        <v>19</v>
      </c>
      <c r="J429" s="52"/>
      <c r="K429" s="53">
        <v>25120</v>
      </c>
      <c r="L429" s="54">
        <v>2</v>
      </c>
    </row>
    <row r="430" spans="1:12" ht="15" x14ac:dyDescent="0.25">
      <c r="A430" s="39" t="s">
        <v>834</v>
      </c>
      <c r="B430" s="46" t="s">
        <v>271</v>
      </c>
      <c r="C430" s="39" t="s">
        <v>700</v>
      </c>
      <c r="D430" s="72">
        <v>121688720</v>
      </c>
      <c r="E430" s="73">
        <v>9194794769</v>
      </c>
      <c r="F430" s="39" t="s">
        <v>247</v>
      </c>
      <c r="G430" s="81">
        <v>35567</v>
      </c>
      <c r="H430" s="105" t="str">
        <f>CHOOSE(MONTH(G430),"January","February","March","April","May","June","July","August","September","October","November","December")</f>
        <v>May</v>
      </c>
      <c r="I430" s="51">
        <f ca="1">DATEDIF(G430,TODAY(),"Y")</f>
        <v>19</v>
      </c>
      <c r="J430" s="52"/>
      <c r="K430" s="53">
        <v>44820</v>
      </c>
      <c r="L430" s="54">
        <v>4</v>
      </c>
    </row>
    <row r="431" spans="1:12" ht="15" x14ac:dyDescent="0.25">
      <c r="A431" s="39" t="s">
        <v>464</v>
      </c>
      <c r="B431" s="46" t="s">
        <v>245</v>
      </c>
      <c r="C431" s="39" t="s">
        <v>700</v>
      </c>
      <c r="D431" s="72">
        <v>425943144</v>
      </c>
      <c r="E431" s="73">
        <v>2522911046</v>
      </c>
      <c r="F431" s="39" t="s">
        <v>247</v>
      </c>
      <c r="G431" s="81">
        <v>34408</v>
      </c>
      <c r="H431" s="105" t="str">
        <f>CHOOSE(MONTH(G431),"January","February","March","April","May","June","July","August","September","October","November","December")</f>
        <v>March</v>
      </c>
      <c r="I431" s="51">
        <f ca="1">DATEDIF(G431,TODAY(),"Y")</f>
        <v>22</v>
      </c>
      <c r="J431" s="52"/>
      <c r="K431" s="53">
        <v>71700</v>
      </c>
      <c r="L431" s="54">
        <v>2</v>
      </c>
    </row>
    <row r="432" spans="1:12" ht="15" x14ac:dyDescent="0.25">
      <c r="A432" s="39" t="s">
        <v>291</v>
      </c>
      <c r="B432" s="46" t="s">
        <v>285</v>
      </c>
      <c r="C432" s="39" t="s">
        <v>700</v>
      </c>
      <c r="D432" s="72">
        <v>974912089</v>
      </c>
      <c r="E432" s="73">
        <v>9192601200</v>
      </c>
      <c r="F432" s="39" t="s">
        <v>256</v>
      </c>
      <c r="G432" s="81">
        <v>34814</v>
      </c>
      <c r="H432" s="105" t="str">
        <f>CHOOSE(MONTH(G432),"January","February","March","April","May","June","July","August","September","October","November","December")</f>
        <v>April</v>
      </c>
      <c r="I432" s="51">
        <f ca="1">DATEDIF(G432,TODAY(),"Y")</f>
        <v>21</v>
      </c>
      <c r="J432" s="52" t="s">
        <v>257</v>
      </c>
      <c r="K432" s="53">
        <v>63190</v>
      </c>
      <c r="L432" s="54">
        <v>1</v>
      </c>
    </row>
    <row r="433" spans="1:12" ht="15" x14ac:dyDescent="0.25">
      <c r="A433" s="39"/>
      <c r="B433" s="46"/>
      <c r="C433" s="111"/>
      <c r="D433" s="72"/>
      <c r="E433" s="73"/>
      <c r="F433" s="39"/>
      <c r="G433" s="81"/>
      <c r="H433" s="105"/>
      <c r="I433" s="51"/>
      <c r="J433" s="52"/>
      <c r="K433" s="53"/>
      <c r="L433" s="54"/>
    </row>
    <row r="434" spans="1:12" ht="15" x14ac:dyDescent="0.25">
      <c r="A434" s="39" t="s">
        <v>451</v>
      </c>
      <c r="B434" s="46" t="s">
        <v>285</v>
      </c>
      <c r="C434" s="39" t="s">
        <v>705</v>
      </c>
      <c r="D434" s="72">
        <v>555718765</v>
      </c>
      <c r="E434" s="73">
        <v>2524618773</v>
      </c>
      <c r="F434" s="39" t="s">
        <v>256</v>
      </c>
      <c r="G434" s="81">
        <v>39485</v>
      </c>
      <c r="H434" s="105" t="str">
        <f t="shared" ref="H434:H477" si="36">CHOOSE(MONTH(G434),"January","February","March","April","May","June","July","August","September","October","November","December")</f>
        <v>February</v>
      </c>
      <c r="I434" s="51">
        <f t="shared" ref="I434:I477" ca="1" si="37">DATEDIF(G434,TODAY(),"Y")</f>
        <v>8</v>
      </c>
      <c r="J434" s="52" t="s">
        <v>257</v>
      </c>
      <c r="K434" s="53">
        <v>88850</v>
      </c>
      <c r="L434" s="54">
        <v>3</v>
      </c>
    </row>
    <row r="435" spans="1:12" ht="15" x14ac:dyDescent="0.25">
      <c r="A435" s="39" t="s">
        <v>646</v>
      </c>
      <c r="B435" s="46" t="s">
        <v>280</v>
      </c>
      <c r="C435" s="39" t="s">
        <v>705</v>
      </c>
      <c r="D435" s="72">
        <v>542214575</v>
      </c>
      <c r="E435" s="73">
        <v>2522172913</v>
      </c>
      <c r="F435" s="39" t="s">
        <v>256</v>
      </c>
      <c r="G435" s="81">
        <v>34702</v>
      </c>
      <c r="H435" s="105" t="str">
        <f t="shared" si="36"/>
        <v>January</v>
      </c>
      <c r="I435" s="51">
        <f t="shared" ca="1" si="37"/>
        <v>21</v>
      </c>
      <c r="J435" s="52" t="s">
        <v>257</v>
      </c>
      <c r="K435" s="53">
        <v>87030</v>
      </c>
      <c r="L435" s="54">
        <v>3</v>
      </c>
    </row>
    <row r="436" spans="1:12" ht="15" x14ac:dyDescent="0.25">
      <c r="A436" s="39" t="s">
        <v>888</v>
      </c>
      <c r="B436" s="46" t="s">
        <v>245</v>
      </c>
      <c r="C436" s="39" t="s">
        <v>705</v>
      </c>
      <c r="D436" s="72">
        <v>972791650</v>
      </c>
      <c r="E436" s="73">
        <v>2525236892</v>
      </c>
      <c r="F436" s="39" t="s">
        <v>261</v>
      </c>
      <c r="G436" s="81">
        <v>37470</v>
      </c>
      <c r="H436" s="105" t="str">
        <f t="shared" si="36"/>
        <v>August</v>
      </c>
      <c r="I436" s="51">
        <f t="shared" ca="1" si="37"/>
        <v>14</v>
      </c>
      <c r="J436" s="52" t="s">
        <v>257</v>
      </c>
      <c r="K436" s="53">
        <v>33810</v>
      </c>
      <c r="L436" s="54">
        <v>5</v>
      </c>
    </row>
    <row r="437" spans="1:12" ht="15" x14ac:dyDescent="0.25">
      <c r="A437" s="39" t="s">
        <v>688</v>
      </c>
      <c r="B437" s="46" t="s">
        <v>271</v>
      </c>
      <c r="C437" s="39" t="s">
        <v>705</v>
      </c>
      <c r="D437" s="72">
        <v>972086665</v>
      </c>
      <c r="E437" s="73">
        <v>2526007063</v>
      </c>
      <c r="F437" s="39" t="s">
        <v>256</v>
      </c>
      <c r="G437" s="81">
        <v>38227</v>
      </c>
      <c r="H437" s="105" t="str">
        <f t="shared" si="36"/>
        <v>August</v>
      </c>
      <c r="I437" s="51">
        <f t="shared" ca="1" si="37"/>
        <v>12</v>
      </c>
      <c r="J437" s="52" t="s">
        <v>283</v>
      </c>
      <c r="K437" s="53">
        <v>86200</v>
      </c>
      <c r="L437" s="54">
        <v>3</v>
      </c>
    </row>
    <row r="438" spans="1:12" ht="15" x14ac:dyDescent="0.25">
      <c r="A438" s="39" t="s">
        <v>928</v>
      </c>
      <c r="B438" s="46" t="s">
        <v>271</v>
      </c>
      <c r="C438" s="39" t="s">
        <v>705</v>
      </c>
      <c r="D438" s="72">
        <v>948252103</v>
      </c>
      <c r="E438" s="73">
        <v>9197430732</v>
      </c>
      <c r="F438" s="39" t="s">
        <v>252</v>
      </c>
      <c r="G438" s="81">
        <v>36329</v>
      </c>
      <c r="H438" s="105" t="str">
        <f t="shared" si="36"/>
        <v>June</v>
      </c>
      <c r="I438" s="51">
        <f t="shared" ca="1" si="37"/>
        <v>17</v>
      </c>
      <c r="J438" s="52"/>
      <c r="K438" s="53">
        <v>39764</v>
      </c>
      <c r="L438" s="54">
        <v>1</v>
      </c>
    </row>
    <row r="439" spans="1:12" ht="15" x14ac:dyDescent="0.25">
      <c r="A439" s="39" t="s">
        <v>874</v>
      </c>
      <c r="B439" s="46" t="s">
        <v>251</v>
      </c>
      <c r="C439" s="39" t="s">
        <v>705</v>
      </c>
      <c r="D439" s="72">
        <v>120479503</v>
      </c>
      <c r="E439" s="73">
        <v>9196069116</v>
      </c>
      <c r="F439" s="39" t="s">
        <v>261</v>
      </c>
      <c r="G439" s="81">
        <v>39299</v>
      </c>
      <c r="H439" s="105" t="str">
        <f t="shared" si="36"/>
        <v>August</v>
      </c>
      <c r="I439" s="51">
        <f t="shared" ca="1" si="37"/>
        <v>9</v>
      </c>
      <c r="J439" s="52" t="s">
        <v>276</v>
      </c>
      <c r="K439" s="53">
        <v>47760</v>
      </c>
      <c r="L439" s="54">
        <v>3</v>
      </c>
    </row>
    <row r="440" spans="1:12" ht="15" x14ac:dyDescent="0.25">
      <c r="A440" s="39" t="s">
        <v>991</v>
      </c>
      <c r="B440" s="46" t="s">
        <v>251</v>
      </c>
      <c r="C440" s="39" t="s">
        <v>705</v>
      </c>
      <c r="D440" s="72">
        <v>711445298</v>
      </c>
      <c r="E440" s="73">
        <v>2528359862</v>
      </c>
      <c r="F440" s="39" t="s">
        <v>247</v>
      </c>
      <c r="G440" s="109">
        <v>40620</v>
      </c>
      <c r="H440" s="105" t="str">
        <f t="shared" si="36"/>
        <v>March</v>
      </c>
      <c r="I440" s="51">
        <f t="shared" ca="1" si="37"/>
        <v>5</v>
      </c>
      <c r="J440" s="52"/>
      <c r="K440" s="53">
        <v>84300</v>
      </c>
      <c r="L440" s="54">
        <v>1</v>
      </c>
    </row>
    <row r="441" spans="1:12" ht="15" x14ac:dyDescent="0.25">
      <c r="A441" s="39" t="s">
        <v>408</v>
      </c>
      <c r="B441" s="46" t="s">
        <v>271</v>
      </c>
      <c r="C441" s="39" t="s">
        <v>705</v>
      </c>
      <c r="D441" s="72">
        <v>816607187</v>
      </c>
      <c r="E441" s="73">
        <v>9195520461</v>
      </c>
      <c r="F441" s="39" t="s">
        <v>252</v>
      </c>
      <c r="G441" s="103">
        <v>40452</v>
      </c>
      <c r="H441" s="105" t="str">
        <f t="shared" si="36"/>
        <v>October</v>
      </c>
      <c r="I441" s="51">
        <f t="shared" ca="1" si="37"/>
        <v>6</v>
      </c>
      <c r="J441" s="52"/>
      <c r="K441" s="53">
        <v>9180</v>
      </c>
      <c r="L441" s="54">
        <v>3</v>
      </c>
    </row>
    <row r="442" spans="1:12" ht="15" x14ac:dyDescent="0.25">
      <c r="A442" s="39" t="s">
        <v>600</v>
      </c>
      <c r="B442" s="46" t="s">
        <v>245</v>
      </c>
      <c r="C442" s="39" t="s">
        <v>705</v>
      </c>
      <c r="D442" s="72">
        <v>847051774</v>
      </c>
      <c r="E442" s="73">
        <v>2522881600</v>
      </c>
      <c r="F442" s="39" t="s">
        <v>256</v>
      </c>
      <c r="G442" s="81">
        <v>39657</v>
      </c>
      <c r="H442" s="105" t="str">
        <f t="shared" si="36"/>
        <v>July</v>
      </c>
      <c r="I442" s="51">
        <f t="shared" ca="1" si="37"/>
        <v>8</v>
      </c>
      <c r="J442" s="52" t="s">
        <v>276</v>
      </c>
      <c r="K442" s="53">
        <v>80880</v>
      </c>
      <c r="L442" s="54">
        <v>1</v>
      </c>
    </row>
    <row r="443" spans="1:12" ht="15" x14ac:dyDescent="0.25">
      <c r="A443" s="39" t="s">
        <v>947</v>
      </c>
      <c r="B443" s="46" t="s">
        <v>271</v>
      </c>
      <c r="C443" s="39" t="s">
        <v>705</v>
      </c>
      <c r="D443" s="72">
        <v>272714784</v>
      </c>
      <c r="E443" s="73">
        <v>9191162663</v>
      </c>
      <c r="F443" s="39" t="s">
        <v>252</v>
      </c>
      <c r="G443" s="81">
        <v>37711</v>
      </c>
      <c r="H443" s="105" t="str">
        <f t="shared" si="36"/>
        <v>March</v>
      </c>
      <c r="I443" s="51">
        <f t="shared" ca="1" si="37"/>
        <v>13</v>
      </c>
      <c r="J443" s="52"/>
      <c r="K443" s="53">
        <v>21648</v>
      </c>
      <c r="L443" s="54">
        <v>2</v>
      </c>
    </row>
    <row r="444" spans="1:12" ht="15" x14ac:dyDescent="0.25">
      <c r="A444" s="39" t="s">
        <v>535</v>
      </c>
      <c r="B444" s="46" t="s">
        <v>266</v>
      </c>
      <c r="C444" s="39" t="s">
        <v>705</v>
      </c>
      <c r="D444" s="72">
        <v>443238477</v>
      </c>
      <c r="E444" s="73">
        <v>9198624601</v>
      </c>
      <c r="F444" s="39" t="s">
        <v>256</v>
      </c>
      <c r="G444" s="81">
        <v>39678</v>
      </c>
      <c r="H444" s="105" t="str">
        <f t="shared" si="36"/>
        <v>August</v>
      </c>
      <c r="I444" s="51">
        <f t="shared" ca="1" si="37"/>
        <v>8</v>
      </c>
      <c r="J444" s="52" t="s">
        <v>283</v>
      </c>
      <c r="K444" s="53">
        <v>80090</v>
      </c>
      <c r="L444" s="54">
        <v>2</v>
      </c>
    </row>
    <row r="445" spans="1:12" ht="15" x14ac:dyDescent="0.25">
      <c r="A445" s="39" t="s">
        <v>849</v>
      </c>
      <c r="B445" s="46" t="s">
        <v>285</v>
      </c>
      <c r="C445" s="39" t="s">
        <v>705</v>
      </c>
      <c r="D445" s="72">
        <v>474117484</v>
      </c>
      <c r="E445" s="73">
        <v>9196132408</v>
      </c>
      <c r="F445" s="39" t="s">
        <v>256</v>
      </c>
      <c r="G445" s="81">
        <v>33642</v>
      </c>
      <c r="H445" s="105" t="str">
        <f t="shared" si="36"/>
        <v>February</v>
      </c>
      <c r="I445" s="51">
        <f t="shared" ca="1" si="37"/>
        <v>24</v>
      </c>
      <c r="J445" s="52" t="s">
        <v>257</v>
      </c>
      <c r="K445" s="53">
        <v>79770</v>
      </c>
      <c r="L445" s="54">
        <v>4</v>
      </c>
    </row>
    <row r="446" spans="1:12" ht="15" x14ac:dyDescent="0.25">
      <c r="A446" s="39" t="s">
        <v>365</v>
      </c>
      <c r="B446" s="46" t="s">
        <v>271</v>
      </c>
      <c r="C446" s="39" t="s">
        <v>705</v>
      </c>
      <c r="D446" s="72">
        <v>150132247</v>
      </c>
      <c r="E446" s="73">
        <v>9198561612</v>
      </c>
      <c r="F446" s="39" t="s">
        <v>256</v>
      </c>
      <c r="G446" s="81">
        <v>33881</v>
      </c>
      <c r="H446" s="105" t="str">
        <f t="shared" si="36"/>
        <v>October</v>
      </c>
      <c r="I446" s="51">
        <f t="shared" ca="1" si="37"/>
        <v>24</v>
      </c>
      <c r="J446" s="52" t="s">
        <v>276</v>
      </c>
      <c r="K446" s="53">
        <v>46910</v>
      </c>
      <c r="L446" s="54">
        <v>3</v>
      </c>
    </row>
    <row r="447" spans="1:12" ht="15" x14ac:dyDescent="0.25">
      <c r="A447" s="39" t="s">
        <v>443</v>
      </c>
      <c r="B447" s="46" t="s">
        <v>271</v>
      </c>
      <c r="C447" s="39" t="s">
        <v>705</v>
      </c>
      <c r="D447" s="72">
        <v>803776506</v>
      </c>
      <c r="E447" s="73">
        <v>2526920236</v>
      </c>
      <c r="F447" s="39" t="s">
        <v>256</v>
      </c>
      <c r="G447" s="81">
        <v>35412</v>
      </c>
      <c r="H447" s="105" t="str">
        <f t="shared" si="36"/>
        <v>December</v>
      </c>
      <c r="I447" s="51">
        <f t="shared" ca="1" si="37"/>
        <v>19</v>
      </c>
      <c r="J447" s="52" t="s">
        <v>262</v>
      </c>
      <c r="K447" s="53">
        <v>77950</v>
      </c>
      <c r="L447" s="54">
        <v>4</v>
      </c>
    </row>
    <row r="448" spans="1:12" ht="15" x14ac:dyDescent="0.25">
      <c r="A448" s="39" t="s">
        <v>952</v>
      </c>
      <c r="B448" s="46" t="s">
        <v>266</v>
      </c>
      <c r="C448" s="39" t="s">
        <v>705</v>
      </c>
      <c r="D448" s="72">
        <v>297806507</v>
      </c>
      <c r="E448" s="73">
        <v>9197312659</v>
      </c>
      <c r="F448" s="39" t="s">
        <v>256</v>
      </c>
      <c r="G448" s="81">
        <v>34740</v>
      </c>
      <c r="H448" s="105" t="str">
        <f t="shared" si="36"/>
        <v>February</v>
      </c>
      <c r="I448" s="51">
        <f t="shared" ca="1" si="37"/>
        <v>21</v>
      </c>
      <c r="J448" s="52" t="s">
        <v>267</v>
      </c>
      <c r="K448" s="53">
        <v>77840</v>
      </c>
      <c r="L448" s="54">
        <v>2</v>
      </c>
    </row>
    <row r="449" spans="1:12" ht="15" x14ac:dyDescent="0.25">
      <c r="A449" s="39" t="s">
        <v>419</v>
      </c>
      <c r="B449" s="46" t="s">
        <v>271</v>
      </c>
      <c r="C449" s="39" t="s">
        <v>705</v>
      </c>
      <c r="D449" s="72">
        <v>290385638</v>
      </c>
      <c r="E449" s="73">
        <v>9194518022</v>
      </c>
      <c r="F449" s="39" t="s">
        <v>261</v>
      </c>
      <c r="G449" s="81">
        <v>33502</v>
      </c>
      <c r="H449" s="105" t="str">
        <f t="shared" si="36"/>
        <v>September</v>
      </c>
      <c r="I449" s="51">
        <f t="shared" ca="1" si="37"/>
        <v>25</v>
      </c>
      <c r="J449" s="52" t="s">
        <v>262</v>
      </c>
      <c r="K449" s="53">
        <v>35045</v>
      </c>
      <c r="L449" s="54">
        <v>4</v>
      </c>
    </row>
    <row r="450" spans="1:12" ht="15" x14ac:dyDescent="0.25">
      <c r="A450" s="45" t="s">
        <v>260</v>
      </c>
      <c r="B450" s="46" t="s">
        <v>285</v>
      </c>
      <c r="C450" s="39" t="s">
        <v>705</v>
      </c>
      <c r="D450" s="72">
        <v>619465100</v>
      </c>
      <c r="E450" s="73">
        <v>9194629606</v>
      </c>
      <c r="F450" s="39" t="s">
        <v>256</v>
      </c>
      <c r="G450" s="81">
        <v>38916</v>
      </c>
      <c r="H450" s="105" t="str">
        <f t="shared" si="36"/>
        <v>July</v>
      </c>
      <c r="I450" s="51">
        <f t="shared" ca="1" si="37"/>
        <v>10</v>
      </c>
      <c r="J450" s="52" t="s">
        <v>262</v>
      </c>
      <c r="K450" s="53">
        <v>27560</v>
      </c>
      <c r="L450" s="54">
        <v>2</v>
      </c>
    </row>
    <row r="451" spans="1:12" ht="15" x14ac:dyDescent="0.25">
      <c r="A451" s="39" t="s">
        <v>398</v>
      </c>
      <c r="B451" s="46" t="s">
        <v>245</v>
      </c>
      <c r="C451" s="39" t="s">
        <v>705</v>
      </c>
      <c r="D451" s="72">
        <v>623823805</v>
      </c>
      <c r="E451" s="73">
        <v>9192602559</v>
      </c>
      <c r="F451" s="39" t="s">
        <v>252</v>
      </c>
      <c r="G451" s="109">
        <v>40403</v>
      </c>
      <c r="H451" s="105" t="str">
        <f t="shared" si="36"/>
        <v>August</v>
      </c>
      <c r="I451" s="51">
        <f t="shared" ca="1" si="37"/>
        <v>6</v>
      </c>
      <c r="J451" s="52"/>
      <c r="K451" s="53">
        <v>15056</v>
      </c>
      <c r="L451" s="54">
        <v>5</v>
      </c>
    </row>
    <row r="452" spans="1:12" ht="15" x14ac:dyDescent="0.25">
      <c r="A452" s="39" t="s">
        <v>950</v>
      </c>
      <c r="B452" s="46" t="s">
        <v>245</v>
      </c>
      <c r="C452" s="39" t="s">
        <v>705</v>
      </c>
      <c r="D452" s="72">
        <v>724193735</v>
      </c>
      <c r="E452" s="73">
        <v>2528627048</v>
      </c>
      <c r="F452" s="39" t="s">
        <v>256</v>
      </c>
      <c r="G452" s="81">
        <v>33620</v>
      </c>
      <c r="H452" s="105" t="str">
        <f t="shared" si="36"/>
        <v>January</v>
      </c>
      <c r="I452" s="51">
        <f t="shared" ca="1" si="37"/>
        <v>24</v>
      </c>
      <c r="J452" s="52" t="s">
        <v>283</v>
      </c>
      <c r="K452" s="53">
        <v>43190</v>
      </c>
      <c r="L452" s="54">
        <v>2</v>
      </c>
    </row>
    <row r="453" spans="1:12" ht="15" x14ac:dyDescent="0.25">
      <c r="A453" s="39" t="s">
        <v>892</v>
      </c>
      <c r="B453" s="46" t="s">
        <v>285</v>
      </c>
      <c r="C453" s="39" t="s">
        <v>705</v>
      </c>
      <c r="D453" s="72">
        <v>868128171</v>
      </c>
      <c r="E453" s="73">
        <v>2525048978</v>
      </c>
      <c r="F453" s="39" t="s">
        <v>256</v>
      </c>
      <c r="G453" s="81">
        <v>33878</v>
      </c>
      <c r="H453" s="105" t="str">
        <f t="shared" si="36"/>
        <v>October</v>
      </c>
      <c r="I453" s="51">
        <f t="shared" ca="1" si="37"/>
        <v>24</v>
      </c>
      <c r="J453" s="52" t="s">
        <v>276</v>
      </c>
      <c r="K453" s="53">
        <v>75370</v>
      </c>
      <c r="L453" s="54">
        <v>2</v>
      </c>
    </row>
    <row r="454" spans="1:12" ht="15" x14ac:dyDescent="0.25">
      <c r="A454" s="39" t="s">
        <v>384</v>
      </c>
      <c r="B454" s="46" t="s">
        <v>271</v>
      </c>
      <c r="C454" s="39" t="s">
        <v>705</v>
      </c>
      <c r="D454" s="72">
        <v>839899522</v>
      </c>
      <c r="E454" s="73">
        <v>9195512521</v>
      </c>
      <c r="F454" s="39" t="s">
        <v>256</v>
      </c>
      <c r="G454" s="81">
        <v>35969</v>
      </c>
      <c r="H454" s="105" t="str">
        <f t="shared" si="36"/>
        <v>June</v>
      </c>
      <c r="I454" s="51">
        <f t="shared" ca="1" si="37"/>
        <v>18</v>
      </c>
      <c r="J454" s="52" t="s">
        <v>257</v>
      </c>
      <c r="K454" s="53">
        <v>74530</v>
      </c>
      <c r="L454" s="54">
        <v>5</v>
      </c>
    </row>
    <row r="455" spans="1:12" ht="15" x14ac:dyDescent="0.25">
      <c r="A455" s="39" t="s">
        <v>1001</v>
      </c>
      <c r="B455" s="46" t="s">
        <v>251</v>
      </c>
      <c r="C455" s="39" t="s">
        <v>705</v>
      </c>
      <c r="D455" s="72">
        <v>302854692</v>
      </c>
      <c r="E455" s="73">
        <v>2528651774</v>
      </c>
      <c r="F455" s="39" t="s">
        <v>261</v>
      </c>
      <c r="G455" s="81">
        <v>34617</v>
      </c>
      <c r="H455" s="105" t="str">
        <f t="shared" si="36"/>
        <v>October</v>
      </c>
      <c r="I455" s="51">
        <f t="shared" ca="1" si="37"/>
        <v>22</v>
      </c>
      <c r="J455" s="52" t="s">
        <v>257</v>
      </c>
      <c r="K455" s="53">
        <v>13435</v>
      </c>
      <c r="L455" s="54">
        <v>1</v>
      </c>
    </row>
    <row r="456" spans="1:12" ht="15" x14ac:dyDescent="0.25">
      <c r="A456" s="39" t="s">
        <v>453</v>
      </c>
      <c r="B456" s="46" t="s">
        <v>271</v>
      </c>
      <c r="C456" s="39" t="s">
        <v>705</v>
      </c>
      <c r="D456" s="72">
        <v>934447306</v>
      </c>
      <c r="E456" s="73">
        <v>2525981242</v>
      </c>
      <c r="F456" s="39" t="s">
        <v>256</v>
      </c>
      <c r="G456" s="81">
        <v>34111</v>
      </c>
      <c r="H456" s="105" t="str">
        <f t="shared" si="36"/>
        <v>May</v>
      </c>
      <c r="I456" s="51">
        <f t="shared" ca="1" si="37"/>
        <v>23</v>
      </c>
      <c r="J456" s="52" t="s">
        <v>283</v>
      </c>
      <c r="K456" s="53">
        <v>73030</v>
      </c>
      <c r="L456" s="54">
        <v>5</v>
      </c>
    </row>
    <row r="457" spans="1:12" ht="15" x14ac:dyDescent="0.25">
      <c r="A457" s="39" t="s">
        <v>791</v>
      </c>
      <c r="B457" s="46" t="s">
        <v>245</v>
      </c>
      <c r="C457" s="39" t="s">
        <v>705</v>
      </c>
      <c r="D457" s="72">
        <v>294130565</v>
      </c>
      <c r="E457" s="73">
        <v>9193744359</v>
      </c>
      <c r="F457" s="39" t="s">
        <v>256</v>
      </c>
      <c r="G457" s="81">
        <v>33636</v>
      </c>
      <c r="H457" s="105" t="str">
        <f t="shared" si="36"/>
        <v>February</v>
      </c>
      <c r="I457" s="51">
        <f t="shared" ca="1" si="37"/>
        <v>24</v>
      </c>
      <c r="J457" s="52" t="s">
        <v>257</v>
      </c>
      <c r="K457" s="53">
        <v>26360</v>
      </c>
      <c r="L457" s="54">
        <v>1</v>
      </c>
    </row>
    <row r="458" spans="1:12" ht="15" x14ac:dyDescent="0.25">
      <c r="A458" s="39" t="s">
        <v>736</v>
      </c>
      <c r="B458" s="46" t="s">
        <v>285</v>
      </c>
      <c r="C458" s="39" t="s">
        <v>705</v>
      </c>
      <c r="D458" s="72">
        <v>365499498</v>
      </c>
      <c r="E458" s="73">
        <v>2523575849</v>
      </c>
      <c r="F458" s="39" t="s">
        <v>256</v>
      </c>
      <c r="G458" s="81">
        <v>38807</v>
      </c>
      <c r="H458" s="105" t="str">
        <f t="shared" si="36"/>
        <v>March</v>
      </c>
      <c r="I458" s="51">
        <f t="shared" ca="1" si="37"/>
        <v>10</v>
      </c>
      <c r="J458" s="52" t="s">
        <v>257</v>
      </c>
      <c r="K458" s="53">
        <v>47060</v>
      </c>
      <c r="L458" s="54">
        <v>4</v>
      </c>
    </row>
    <row r="459" spans="1:12" ht="15" x14ac:dyDescent="0.25">
      <c r="A459" s="39" t="s">
        <v>998</v>
      </c>
      <c r="B459" s="46" t="s">
        <v>285</v>
      </c>
      <c r="C459" s="39" t="s">
        <v>705</v>
      </c>
      <c r="D459" s="72">
        <v>145240921</v>
      </c>
      <c r="E459" s="73">
        <v>2525227751</v>
      </c>
      <c r="F459" s="39" t="s">
        <v>256</v>
      </c>
      <c r="G459" s="81">
        <v>39404</v>
      </c>
      <c r="H459" s="105" t="str">
        <f t="shared" si="36"/>
        <v>November</v>
      </c>
      <c r="I459" s="51">
        <f t="shared" ca="1" si="37"/>
        <v>8</v>
      </c>
      <c r="J459" s="52" t="s">
        <v>267</v>
      </c>
      <c r="K459" s="53">
        <v>50990</v>
      </c>
      <c r="L459" s="54">
        <v>4</v>
      </c>
    </row>
    <row r="460" spans="1:12" ht="15" x14ac:dyDescent="0.25">
      <c r="A460" s="39" t="s">
        <v>606</v>
      </c>
      <c r="B460" s="46" t="s">
        <v>285</v>
      </c>
      <c r="C460" s="39" t="s">
        <v>705</v>
      </c>
      <c r="D460" s="72">
        <v>210173249</v>
      </c>
      <c r="E460" s="73">
        <v>2525780571</v>
      </c>
      <c r="F460" s="39" t="s">
        <v>247</v>
      </c>
      <c r="G460" s="81">
        <v>33811</v>
      </c>
      <c r="H460" s="105" t="str">
        <f t="shared" si="36"/>
        <v>July</v>
      </c>
      <c r="I460" s="51">
        <f t="shared" ca="1" si="37"/>
        <v>24</v>
      </c>
      <c r="J460" s="52"/>
      <c r="K460" s="53">
        <v>32650</v>
      </c>
      <c r="L460" s="54">
        <v>1</v>
      </c>
    </row>
    <row r="461" spans="1:12" ht="15" x14ac:dyDescent="0.25">
      <c r="A461" s="39" t="s">
        <v>476</v>
      </c>
      <c r="B461" s="46" t="s">
        <v>271</v>
      </c>
      <c r="C461" s="39" t="s">
        <v>705</v>
      </c>
      <c r="D461" s="72">
        <v>960967007</v>
      </c>
      <c r="E461" s="73">
        <v>9194694995</v>
      </c>
      <c r="F461" s="39" t="s">
        <v>247</v>
      </c>
      <c r="G461" s="81">
        <v>36623</v>
      </c>
      <c r="H461" s="105" t="str">
        <f t="shared" si="36"/>
        <v>April</v>
      </c>
      <c r="I461" s="51">
        <f t="shared" ca="1" si="37"/>
        <v>16</v>
      </c>
      <c r="J461" s="52"/>
      <c r="K461" s="53">
        <v>30300</v>
      </c>
      <c r="L461" s="54">
        <v>1</v>
      </c>
    </row>
    <row r="462" spans="1:12" ht="15" x14ac:dyDescent="0.25">
      <c r="A462" s="39" t="s">
        <v>1004</v>
      </c>
      <c r="B462" s="46" t="s">
        <v>285</v>
      </c>
      <c r="C462" s="39" t="s">
        <v>705</v>
      </c>
      <c r="D462" s="72">
        <v>248820119</v>
      </c>
      <c r="E462" s="73">
        <v>2521711684</v>
      </c>
      <c r="F462" s="39" t="s">
        <v>256</v>
      </c>
      <c r="G462" s="81">
        <v>35903</v>
      </c>
      <c r="H462" s="105" t="str">
        <f t="shared" si="36"/>
        <v>April</v>
      </c>
      <c r="I462" s="51">
        <f t="shared" ca="1" si="37"/>
        <v>18</v>
      </c>
      <c r="J462" s="52" t="s">
        <v>257</v>
      </c>
      <c r="K462" s="53">
        <v>68520</v>
      </c>
      <c r="L462" s="54">
        <v>5</v>
      </c>
    </row>
    <row r="463" spans="1:12" ht="15" x14ac:dyDescent="0.25">
      <c r="A463" s="39" t="s">
        <v>830</v>
      </c>
      <c r="B463" s="46" t="s">
        <v>285</v>
      </c>
      <c r="C463" s="39" t="s">
        <v>705</v>
      </c>
      <c r="D463" s="72">
        <v>881242432</v>
      </c>
      <c r="E463" s="73">
        <v>9193957018</v>
      </c>
      <c r="F463" s="39" t="s">
        <v>256</v>
      </c>
      <c r="G463" s="81">
        <v>33928</v>
      </c>
      <c r="H463" s="105" t="str">
        <f t="shared" si="36"/>
        <v>November</v>
      </c>
      <c r="I463" s="51">
        <f t="shared" ca="1" si="37"/>
        <v>23</v>
      </c>
      <c r="J463" s="52" t="s">
        <v>262</v>
      </c>
      <c r="K463" s="53">
        <v>68010</v>
      </c>
      <c r="L463" s="54">
        <v>1</v>
      </c>
    </row>
    <row r="464" spans="1:12" ht="15" x14ac:dyDescent="0.25">
      <c r="A464" s="39" t="s">
        <v>684</v>
      </c>
      <c r="B464" s="46" t="s">
        <v>285</v>
      </c>
      <c r="C464" s="39" t="s">
        <v>705</v>
      </c>
      <c r="D464" s="72">
        <v>824046378</v>
      </c>
      <c r="E464" s="73">
        <v>9196335284</v>
      </c>
      <c r="F464" s="39" t="s">
        <v>256</v>
      </c>
      <c r="G464" s="81">
        <v>35379</v>
      </c>
      <c r="H464" s="105" t="str">
        <f t="shared" si="36"/>
        <v>November</v>
      </c>
      <c r="I464" s="51">
        <f t="shared" ca="1" si="37"/>
        <v>20</v>
      </c>
      <c r="J464" s="52" t="s">
        <v>276</v>
      </c>
      <c r="K464" s="53">
        <v>67230</v>
      </c>
      <c r="L464" s="54">
        <v>4</v>
      </c>
    </row>
    <row r="465" spans="1:12" ht="15" x14ac:dyDescent="0.25">
      <c r="A465" s="39" t="s">
        <v>331</v>
      </c>
      <c r="B465" s="46" t="s">
        <v>251</v>
      </c>
      <c r="C465" s="39" t="s">
        <v>705</v>
      </c>
      <c r="D465" s="72">
        <v>551132018</v>
      </c>
      <c r="E465" s="73">
        <v>2525796953</v>
      </c>
      <c r="F465" s="39" t="s">
        <v>256</v>
      </c>
      <c r="G465" s="81">
        <v>40370</v>
      </c>
      <c r="H465" s="105" t="str">
        <f t="shared" si="36"/>
        <v>July</v>
      </c>
      <c r="I465" s="51">
        <f t="shared" ca="1" si="37"/>
        <v>6</v>
      </c>
      <c r="J465" s="52" t="s">
        <v>257</v>
      </c>
      <c r="K465" s="53">
        <v>66840</v>
      </c>
      <c r="L465" s="54">
        <v>4</v>
      </c>
    </row>
    <row r="466" spans="1:12" ht="15" x14ac:dyDescent="0.25">
      <c r="A466" s="39" t="s">
        <v>486</v>
      </c>
      <c r="B466" s="46" t="s">
        <v>251</v>
      </c>
      <c r="C466" s="39" t="s">
        <v>705</v>
      </c>
      <c r="D466" s="72">
        <v>761337848</v>
      </c>
      <c r="E466" s="73">
        <v>9193967339</v>
      </c>
      <c r="F466" s="39" t="s">
        <v>247</v>
      </c>
      <c r="G466" s="81">
        <v>34502</v>
      </c>
      <c r="H466" s="105" t="str">
        <f t="shared" si="36"/>
        <v>June</v>
      </c>
      <c r="I466" s="51">
        <f t="shared" ca="1" si="37"/>
        <v>22</v>
      </c>
      <c r="J466" s="52"/>
      <c r="K466" s="53">
        <v>66710</v>
      </c>
      <c r="L466" s="54">
        <v>2</v>
      </c>
    </row>
    <row r="467" spans="1:12" ht="15" x14ac:dyDescent="0.25">
      <c r="A467" s="39" t="s">
        <v>914</v>
      </c>
      <c r="B467" s="46" t="s">
        <v>245</v>
      </c>
      <c r="C467" s="39" t="s">
        <v>705</v>
      </c>
      <c r="D467" s="72">
        <v>869524136</v>
      </c>
      <c r="E467" s="73">
        <v>9193640748</v>
      </c>
      <c r="F467" s="39" t="s">
        <v>256</v>
      </c>
      <c r="G467" s="81">
        <v>35339</v>
      </c>
      <c r="H467" s="105" t="str">
        <f t="shared" si="36"/>
        <v>October</v>
      </c>
      <c r="I467" s="51">
        <f t="shared" ca="1" si="37"/>
        <v>20</v>
      </c>
      <c r="J467" s="52" t="s">
        <v>283</v>
      </c>
      <c r="K467" s="53">
        <v>43410</v>
      </c>
      <c r="L467" s="54">
        <v>1</v>
      </c>
    </row>
    <row r="468" spans="1:12" ht="15" x14ac:dyDescent="0.25">
      <c r="A468" s="39" t="s">
        <v>846</v>
      </c>
      <c r="B468" s="46" t="s">
        <v>266</v>
      </c>
      <c r="C468" s="39" t="s">
        <v>705</v>
      </c>
      <c r="D468" s="72">
        <v>851400058</v>
      </c>
      <c r="E468" s="73">
        <v>9196012031</v>
      </c>
      <c r="F468" s="39" t="s">
        <v>261</v>
      </c>
      <c r="G468" s="103">
        <v>40393</v>
      </c>
      <c r="H468" s="105" t="str">
        <f t="shared" si="36"/>
        <v>August</v>
      </c>
      <c r="I468" s="51">
        <f t="shared" ca="1" si="37"/>
        <v>6</v>
      </c>
      <c r="J468" s="52" t="s">
        <v>257</v>
      </c>
      <c r="K468" s="53">
        <v>16925</v>
      </c>
      <c r="L468" s="54">
        <v>1</v>
      </c>
    </row>
    <row r="469" spans="1:12" ht="15" x14ac:dyDescent="0.25">
      <c r="A469" s="39" t="s">
        <v>529</v>
      </c>
      <c r="B469" s="46" t="s">
        <v>280</v>
      </c>
      <c r="C469" s="39" t="s">
        <v>705</v>
      </c>
      <c r="D469" s="72">
        <v>213741822</v>
      </c>
      <c r="E469" s="73">
        <v>2521780498</v>
      </c>
      <c r="F469" s="39" t="s">
        <v>247</v>
      </c>
      <c r="G469" s="81">
        <v>35921</v>
      </c>
      <c r="H469" s="105" t="str">
        <f t="shared" si="36"/>
        <v>May</v>
      </c>
      <c r="I469" s="51">
        <f t="shared" ca="1" si="37"/>
        <v>18</v>
      </c>
      <c r="J469" s="52"/>
      <c r="K469" s="53">
        <v>63330</v>
      </c>
      <c r="L469" s="54">
        <v>4</v>
      </c>
    </row>
    <row r="470" spans="1:12" ht="15" x14ac:dyDescent="0.25">
      <c r="A470" s="39" t="s">
        <v>513</v>
      </c>
      <c r="B470" s="46" t="s">
        <v>280</v>
      </c>
      <c r="C470" s="39" t="s">
        <v>705</v>
      </c>
      <c r="D470" s="72">
        <v>577239513</v>
      </c>
      <c r="E470" s="73">
        <v>9193199265</v>
      </c>
      <c r="F470" s="39" t="s">
        <v>256</v>
      </c>
      <c r="G470" s="81">
        <v>35133</v>
      </c>
      <c r="H470" s="105" t="str">
        <f t="shared" si="36"/>
        <v>March</v>
      </c>
      <c r="I470" s="51">
        <f t="shared" ca="1" si="37"/>
        <v>20</v>
      </c>
      <c r="J470" s="52" t="s">
        <v>283</v>
      </c>
      <c r="K470" s="53">
        <v>63080</v>
      </c>
      <c r="L470" s="54">
        <v>5</v>
      </c>
    </row>
    <row r="471" spans="1:12" ht="15" x14ac:dyDescent="0.25">
      <c r="A471" s="39" t="s">
        <v>380</v>
      </c>
      <c r="B471" s="46" t="s">
        <v>285</v>
      </c>
      <c r="C471" s="39" t="s">
        <v>705</v>
      </c>
      <c r="D471" s="72">
        <v>959568761</v>
      </c>
      <c r="E471" s="73">
        <v>9194744493</v>
      </c>
      <c r="F471" s="39" t="s">
        <v>256</v>
      </c>
      <c r="G471" s="81">
        <v>33457</v>
      </c>
      <c r="H471" s="105" t="str">
        <f t="shared" si="36"/>
        <v>August</v>
      </c>
      <c r="I471" s="51">
        <f t="shared" ca="1" si="37"/>
        <v>25</v>
      </c>
      <c r="J471" s="52" t="s">
        <v>267</v>
      </c>
      <c r="K471" s="53">
        <v>61470</v>
      </c>
      <c r="L471" s="54">
        <v>5</v>
      </c>
    </row>
    <row r="472" spans="1:12" ht="15" x14ac:dyDescent="0.25">
      <c r="A472" s="39" t="s">
        <v>706</v>
      </c>
      <c r="B472" s="46" t="s">
        <v>271</v>
      </c>
      <c r="C472" s="39" t="s">
        <v>705</v>
      </c>
      <c r="D472" s="72">
        <v>931977751</v>
      </c>
      <c r="E472" s="73">
        <v>9194471952</v>
      </c>
      <c r="F472" s="39" t="s">
        <v>256</v>
      </c>
      <c r="G472" s="81">
        <v>34901</v>
      </c>
      <c r="H472" s="105" t="str">
        <f t="shared" si="36"/>
        <v>July</v>
      </c>
      <c r="I472" s="51">
        <f t="shared" ca="1" si="37"/>
        <v>21</v>
      </c>
      <c r="J472" s="52" t="s">
        <v>257</v>
      </c>
      <c r="K472" s="53">
        <v>25830</v>
      </c>
      <c r="L472" s="54">
        <v>5</v>
      </c>
    </row>
    <row r="473" spans="1:12" ht="15" x14ac:dyDescent="0.25">
      <c r="A473" s="39" t="s">
        <v>806</v>
      </c>
      <c r="B473" s="46" t="s">
        <v>285</v>
      </c>
      <c r="C473" s="39" t="s">
        <v>705</v>
      </c>
      <c r="D473" s="72">
        <v>489013842</v>
      </c>
      <c r="E473" s="73">
        <v>2521658481</v>
      </c>
      <c r="F473" s="39" t="s">
        <v>261</v>
      </c>
      <c r="G473" s="81">
        <v>36695</v>
      </c>
      <c r="H473" s="105" t="str">
        <f t="shared" si="36"/>
        <v>June</v>
      </c>
      <c r="I473" s="51">
        <f t="shared" ca="1" si="37"/>
        <v>16</v>
      </c>
      <c r="J473" s="52" t="s">
        <v>283</v>
      </c>
      <c r="K473" s="53">
        <v>29005</v>
      </c>
      <c r="L473" s="54">
        <v>1</v>
      </c>
    </row>
    <row r="474" spans="1:12" ht="15" x14ac:dyDescent="0.25">
      <c r="A474" s="39" t="s">
        <v>627</v>
      </c>
      <c r="B474" s="46" t="s">
        <v>285</v>
      </c>
      <c r="C474" s="39" t="s">
        <v>705</v>
      </c>
      <c r="D474" s="72">
        <v>842774592</v>
      </c>
      <c r="E474" s="73">
        <v>2527345539</v>
      </c>
      <c r="F474" s="39" t="s">
        <v>252</v>
      </c>
      <c r="G474" s="81">
        <v>38144</v>
      </c>
      <c r="H474" s="105" t="str">
        <f t="shared" si="36"/>
        <v>June</v>
      </c>
      <c r="I474" s="51">
        <f t="shared" ca="1" si="37"/>
        <v>12</v>
      </c>
      <c r="J474" s="52"/>
      <c r="K474" s="53">
        <v>33512</v>
      </c>
      <c r="L474" s="54">
        <v>4</v>
      </c>
    </row>
    <row r="475" spans="1:12" ht="15" x14ac:dyDescent="0.25">
      <c r="A475" s="39" t="s">
        <v>425</v>
      </c>
      <c r="B475" s="46" t="s">
        <v>271</v>
      </c>
      <c r="C475" s="39" t="s">
        <v>705</v>
      </c>
      <c r="D475" s="72">
        <v>617795992</v>
      </c>
      <c r="E475" s="73">
        <v>2526345909</v>
      </c>
      <c r="F475" s="39" t="s">
        <v>256</v>
      </c>
      <c r="G475" s="81">
        <v>33578</v>
      </c>
      <c r="H475" s="105" t="str">
        <f t="shared" si="36"/>
        <v>December</v>
      </c>
      <c r="I475" s="51">
        <f t="shared" ca="1" si="37"/>
        <v>24</v>
      </c>
      <c r="J475" s="52" t="s">
        <v>257</v>
      </c>
      <c r="K475" s="53">
        <v>43580</v>
      </c>
      <c r="L475" s="54">
        <v>5</v>
      </c>
    </row>
    <row r="476" spans="1:12" ht="15" x14ac:dyDescent="0.25">
      <c r="A476" s="39" t="s">
        <v>475</v>
      </c>
      <c r="B476" s="46" t="s">
        <v>251</v>
      </c>
      <c r="C476" s="39" t="s">
        <v>705</v>
      </c>
      <c r="D476" s="72">
        <v>719165738</v>
      </c>
      <c r="E476" s="73">
        <v>9195750692</v>
      </c>
      <c r="F476" s="39" t="s">
        <v>247</v>
      </c>
      <c r="G476" s="81">
        <v>40468</v>
      </c>
      <c r="H476" s="105" t="str">
        <f t="shared" si="36"/>
        <v>October</v>
      </c>
      <c r="I476" s="51">
        <f t="shared" ca="1" si="37"/>
        <v>6</v>
      </c>
      <c r="J476" s="52"/>
      <c r="K476" s="53">
        <v>39440</v>
      </c>
      <c r="L476" s="54">
        <v>4</v>
      </c>
    </row>
    <row r="477" spans="1:12" ht="15" x14ac:dyDescent="0.25">
      <c r="A477" s="39" t="s">
        <v>973</v>
      </c>
      <c r="B477" s="46" t="s">
        <v>280</v>
      </c>
      <c r="C477" s="39" t="s">
        <v>705</v>
      </c>
      <c r="D477" s="72">
        <v>291803431</v>
      </c>
      <c r="E477" s="73">
        <v>2525866679</v>
      </c>
      <c r="F477" s="39" t="s">
        <v>247</v>
      </c>
      <c r="G477" s="81">
        <v>39783</v>
      </c>
      <c r="H477" s="105" t="str">
        <f t="shared" si="36"/>
        <v>December</v>
      </c>
      <c r="I477" s="51">
        <f t="shared" ca="1" si="37"/>
        <v>7</v>
      </c>
      <c r="J477" s="52"/>
      <c r="K477" s="53">
        <v>54000</v>
      </c>
      <c r="L477" s="54">
        <v>3</v>
      </c>
    </row>
    <row r="478" spans="1:12" ht="15" x14ac:dyDescent="0.25">
      <c r="A478" s="39"/>
      <c r="B478" s="46"/>
      <c r="C478" s="111"/>
      <c r="D478" s="72"/>
      <c r="E478" s="73"/>
      <c r="F478" s="39"/>
      <c r="G478" s="81"/>
      <c r="H478" s="105"/>
      <c r="I478" s="51"/>
      <c r="J478" s="52"/>
      <c r="K478" s="53"/>
      <c r="L478" s="54"/>
    </row>
    <row r="479" spans="1:12" ht="15" x14ac:dyDescent="0.25">
      <c r="A479" s="39" t="s">
        <v>433</v>
      </c>
      <c r="B479" s="46" t="s">
        <v>285</v>
      </c>
      <c r="C479" s="39" t="s">
        <v>750</v>
      </c>
      <c r="D479" s="72">
        <v>292693795</v>
      </c>
      <c r="E479" s="73">
        <v>9195990139</v>
      </c>
      <c r="F479" s="39" t="s">
        <v>256</v>
      </c>
      <c r="G479" s="81">
        <v>33280</v>
      </c>
      <c r="H479" s="105" t="str">
        <f t="shared" ref="H479:H494" si="38">CHOOSE(MONTH(G479),"January","February","March","April","May","June","July","August","September","October","November","December")</f>
        <v>February</v>
      </c>
      <c r="I479" s="51">
        <f t="shared" ref="I479:I494" ca="1" si="39">DATEDIF(G479,TODAY(),"Y")</f>
        <v>25</v>
      </c>
      <c r="J479" s="52" t="s">
        <v>257</v>
      </c>
      <c r="K479" s="53">
        <v>87950</v>
      </c>
      <c r="L479" s="54">
        <v>4</v>
      </c>
    </row>
    <row r="480" spans="1:12" ht="15" x14ac:dyDescent="0.25">
      <c r="A480" s="39" t="s">
        <v>376</v>
      </c>
      <c r="B480" s="46" t="s">
        <v>245</v>
      </c>
      <c r="C480" s="39" t="s">
        <v>750</v>
      </c>
      <c r="D480" s="72">
        <v>360904659</v>
      </c>
      <c r="E480" s="73">
        <v>2523766803</v>
      </c>
      <c r="F480" s="39" t="s">
        <v>256</v>
      </c>
      <c r="G480" s="81">
        <v>33588</v>
      </c>
      <c r="H480" s="105" t="str">
        <f t="shared" si="38"/>
        <v>December</v>
      </c>
      <c r="I480" s="51">
        <f t="shared" ca="1" si="39"/>
        <v>24</v>
      </c>
      <c r="J480" s="52" t="s">
        <v>283</v>
      </c>
      <c r="K480" s="53">
        <v>44620</v>
      </c>
      <c r="L480" s="54">
        <v>5</v>
      </c>
    </row>
    <row r="481" spans="1:12" ht="15" x14ac:dyDescent="0.25">
      <c r="A481" s="39" t="s">
        <v>416</v>
      </c>
      <c r="B481" s="46" t="s">
        <v>271</v>
      </c>
      <c r="C481" s="39" t="s">
        <v>750</v>
      </c>
      <c r="D481" s="72">
        <v>444159297</v>
      </c>
      <c r="E481" s="73">
        <v>2522456406</v>
      </c>
      <c r="F481" s="39" t="s">
        <v>256</v>
      </c>
      <c r="G481" s="81">
        <v>33536</v>
      </c>
      <c r="H481" s="105" t="str">
        <f t="shared" si="38"/>
        <v>October</v>
      </c>
      <c r="I481" s="51">
        <f t="shared" ca="1" si="39"/>
        <v>25</v>
      </c>
      <c r="J481" s="52" t="s">
        <v>257</v>
      </c>
      <c r="K481" s="53">
        <v>81530</v>
      </c>
      <c r="L481" s="54">
        <v>5</v>
      </c>
    </row>
    <row r="482" spans="1:12" ht="15" x14ac:dyDescent="0.25">
      <c r="A482" s="39" t="s">
        <v>956</v>
      </c>
      <c r="B482" s="46" t="s">
        <v>285</v>
      </c>
      <c r="C482" s="39" t="s">
        <v>750</v>
      </c>
      <c r="D482" s="72">
        <v>852430023</v>
      </c>
      <c r="E482" s="73">
        <v>9195506190</v>
      </c>
      <c r="F482" s="39" t="s">
        <v>261</v>
      </c>
      <c r="G482" s="81">
        <v>33112</v>
      </c>
      <c r="H482" s="105" t="str">
        <f t="shared" si="38"/>
        <v>August</v>
      </c>
      <c r="I482" s="51">
        <f t="shared" ca="1" si="39"/>
        <v>26</v>
      </c>
      <c r="J482" s="52" t="s">
        <v>267</v>
      </c>
      <c r="K482" s="53">
        <v>24815</v>
      </c>
      <c r="L482" s="54">
        <v>1</v>
      </c>
    </row>
    <row r="483" spans="1:12" ht="15" x14ac:dyDescent="0.25">
      <c r="A483" s="39" t="s">
        <v>937</v>
      </c>
      <c r="B483" s="46" t="s">
        <v>271</v>
      </c>
      <c r="C483" s="39" t="s">
        <v>750</v>
      </c>
      <c r="D483" s="72">
        <v>904790184</v>
      </c>
      <c r="E483" s="73">
        <v>9191876990</v>
      </c>
      <c r="F483" s="39" t="s">
        <v>256</v>
      </c>
      <c r="G483" s="81">
        <v>33460</v>
      </c>
      <c r="H483" s="105" t="str">
        <f t="shared" si="38"/>
        <v>August</v>
      </c>
      <c r="I483" s="51">
        <f t="shared" ca="1" si="39"/>
        <v>25</v>
      </c>
      <c r="J483" s="52" t="s">
        <v>283</v>
      </c>
      <c r="K483" s="53">
        <v>77720</v>
      </c>
      <c r="L483" s="54">
        <v>3</v>
      </c>
    </row>
    <row r="484" spans="1:12" ht="15" x14ac:dyDescent="0.25">
      <c r="A484" s="39" t="s">
        <v>432</v>
      </c>
      <c r="B484" s="46" t="s">
        <v>245</v>
      </c>
      <c r="C484" s="39" t="s">
        <v>750</v>
      </c>
      <c r="D484" s="72">
        <v>671360508</v>
      </c>
      <c r="E484" s="73">
        <v>2528385730</v>
      </c>
      <c r="F484" s="39" t="s">
        <v>261</v>
      </c>
      <c r="G484" s="108">
        <v>33160</v>
      </c>
      <c r="H484" s="105" t="str">
        <f t="shared" si="38"/>
        <v>October</v>
      </c>
      <c r="I484" s="51">
        <f t="shared" ca="1" si="39"/>
        <v>26</v>
      </c>
      <c r="J484" s="52" t="s">
        <v>262</v>
      </c>
      <c r="K484" s="53">
        <v>39620</v>
      </c>
      <c r="L484" s="54">
        <v>5</v>
      </c>
    </row>
    <row r="485" spans="1:12" ht="15" x14ac:dyDescent="0.25">
      <c r="A485" s="39" t="s">
        <v>733</v>
      </c>
      <c r="B485" s="46" t="s">
        <v>285</v>
      </c>
      <c r="C485" s="39" t="s">
        <v>750</v>
      </c>
      <c r="D485" s="72">
        <v>219740602</v>
      </c>
      <c r="E485" s="73">
        <v>9197429525</v>
      </c>
      <c r="F485" s="39" t="s">
        <v>261</v>
      </c>
      <c r="G485" s="81">
        <v>33349</v>
      </c>
      <c r="H485" s="105" t="str">
        <f t="shared" si="38"/>
        <v>April</v>
      </c>
      <c r="I485" s="51">
        <f t="shared" ca="1" si="39"/>
        <v>25</v>
      </c>
      <c r="J485" s="52" t="s">
        <v>276</v>
      </c>
      <c r="K485" s="53">
        <v>16015</v>
      </c>
      <c r="L485" s="54">
        <v>3</v>
      </c>
    </row>
    <row r="486" spans="1:12" ht="15" x14ac:dyDescent="0.25">
      <c r="A486" s="39" t="s">
        <v>765</v>
      </c>
      <c r="B486" s="46" t="s">
        <v>285</v>
      </c>
      <c r="C486" s="39" t="s">
        <v>750</v>
      </c>
      <c r="D486" s="72">
        <v>198564686</v>
      </c>
      <c r="E486" s="78">
        <v>2523355100</v>
      </c>
      <c r="F486" s="39" t="s">
        <v>256</v>
      </c>
      <c r="G486" s="81">
        <v>33246</v>
      </c>
      <c r="H486" s="105" t="str">
        <f t="shared" si="38"/>
        <v>January</v>
      </c>
      <c r="I486" s="51">
        <f t="shared" ca="1" si="39"/>
        <v>25</v>
      </c>
      <c r="J486" s="52" t="s">
        <v>257</v>
      </c>
      <c r="K486" s="53">
        <v>71730</v>
      </c>
      <c r="L486" s="54">
        <v>1</v>
      </c>
    </row>
    <row r="487" spans="1:12" ht="15" x14ac:dyDescent="0.25">
      <c r="A487" s="39" t="s">
        <v>317</v>
      </c>
      <c r="B487" s="46" t="s">
        <v>271</v>
      </c>
      <c r="C487" s="39" t="s">
        <v>750</v>
      </c>
      <c r="D487" s="72">
        <v>763518183</v>
      </c>
      <c r="E487" s="73">
        <v>2522581491</v>
      </c>
      <c r="F487" s="39" t="s">
        <v>256</v>
      </c>
      <c r="G487" s="81">
        <v>33440</v>
      </c>
      <c r="H487" s="105" t="str">
        <f t="shared" si="38"/>
        <v>July</v>
      </c>
      <c r="I487" s="51">
        <f t="shared" ca="1" si="39"/>
        <v>25</v>
      </c>
      <c r="J487" s="52" t="s">
        <v>257</v>
      </c>
      <c r="K487" s="53">
        <v>69400</v>
      </c>
      <c r="L487" s="54">
        <v>5</v>
      </c>
    </row>
    <row r="488" spans="1:12" ht="15" x14ac:dyDescent="0.25">
      <c r="A488" s="39" t="s">
        <v>855</v>
      </c>
      <c r="B488" s="46" t="s">
        <v>266</v>
      </c>
      <c r="C488" s="39" t="s">
        <v>750</v>
      </c>
      <c r="D488" s="72">
        <v>834061135</v>
      </c>
      <c r="E488" s="73">
        <v>9198472270</v>
      </c>
      <c r="F488" s="39" t="s">
        <v>256</v>
      </c>
      <c r="G488" s="81">
        <v>33513</v>
      </c>
      <c r="H488" s="105" t="str">
        <f t="shared" si="38"/>
        <v>October</v>
      </c>
      <c r="I488" s="51">
        <f t="shared" ca="1" si="39"/>
        <v>25</v>
      </c>
      <c r="J488" s="52" t="s">
        <v>267</v>
      </c>
      <c r="K488" s="53">
        <v>44560</v>
      </c>
      <c r="L488" s="54">
        <v>2</v>
      </c>
    </row>
    <row r="489" spans="1:12" ht="15" x14ac:dyDescent="0.25">
      <c r="A489" s="39" t="s">
        <v>580</v>
      </c>
      <c r="B489" s="46" t="s">
        <v>271</v>
      </c>
      <c r="C489" s="39" t="s">
        <v>750</v>
      </c>
      <c r="D489" s="72">
        <v>967826310</v>
      </c>
      <c r="E489" s="73">
        <v>9196100410</v>
      </c>
      <c r="F489" s="39" t="s">
        <v>256</v>
      </c>
      <c r="G489" s="81">
        <v>33320</v>
      </c>
      <c r="H489" s="105" t="str">
        <f t="shared" si="38"/>
        <v>March</v>
      </c>
      <c r="I489" s="51">
        <f t="shared" ca="1" si="39"/>
        <v>25</v>
      </c>
      <c r="J489" s="52" t="s">
        <v>276</v>
      </c>
      <c r="K489" s="53">
        <v>35320</v>
      </c>
      <c r="L489" s="54">
        <v>3</v>
      </c>
    </row>
    <row r="490" spans="1:12" ht="15" x14ac:dyDescent="0.25">
      <c r="A490" s="39" t="s">
        <v>690</v>
      </c>
      <c r="B490" s="46" t="s">
        <v>285</v>
      </c>
      <c r="C490" s="39" t="s">
        <v>750</v>
      </c>
      <c r="D490" s="72">
        <v>174483231</v>
      </c>
      <c r="E490" s="73">
        <v>9196733291</v>
      </c>
      <c r="F490" s="39" t="s">
        <v>256</v>
      </c>
      <c r="G490" s="81">
        <v>33186</v>
      </c>
      <c r="H490" s="105" t="str">
        <f t="shared" si="38"/>
        <v>November</v>
      </c>
      <c r="I490" s="51">
        <f t="shared" ca="1" si="39"/>
        <v>26</v>
      </c>
      <c r="J490" s="52" t="s">
        <v>257</v>
      </c>
      <c r="K490" s="53">
        <v>40940</v>
      </c>
      <c r="L490" s="54">
        <v>3</v>
      </c>
    </row>
    <row r="491" spans="1:12" ht="15" x14ac:dyDescent="0.25">
      <c r="A491" s="39" t="s">
        <v>415</v>
      </c>
      <c r="B491" s="46" t="s">
        <v>285</v>
      </c>
      <c r="C491" s="39" t="s">
        <v>750</v>
      </c>
      <c r="D491" s="72">
        <v>285295419</v>
      </c>
      <c r="E491" s="73">
        <v>9197904981</v>
      </c>
      <c r="F491" s="39" t="s">
        <v>252</v>
      </c>
      <c r="G491" s="81">
        <v>33158</v>
      </c>
      <c r="H491" s="105" t="str">
        <f t="shared" si="38"/>
        <v>October</v>
      </c>
      <c r="I491" s="51">
        <f t="shared" ca="1" si="39"/>
        <v>26</v>
      </c>
      <c r="J491" s="52"/>
      <c r="K491" s="53">
        <v>33232</v>
      </c>
      <c r="L491" s="54">
        <v>4</v>
      </c>
    </row>
    <row r="492" spans="1:12" ht="15" x14ac:dyDescent="0.25">
      <c r="A492" s="39" t="s">
        <v>667</v>
      </c>
      <c r="B492" s="46" t="s">
        <v>266</v>
      </c>
      <c r="C492" s="39" t="s">
        <v>750</v>
      </c>
      <c r="D492" s="72">
        <v>710460589</v>
      </c>
      <c r="E492" s="73">
        <v>2526104400</v>
      </c>
      <c r="F492" s="39" t="s">
        <v>256</v>
      </c>
      <c r="G492" s="81">
        <v>33179</v>
      </c>
      <c r="H492" s="105" t="str">
        <f t="shared" si="38"/>
        <v>November</v>
      </c>
      <c r="I492" s="51">
        <f t="shared" ca="1" si="39"/>
        <v>26</v>
      </c>
      <c r="J492" s="52" t="s">
        <v>283</v>
      </c>
      <c r="K492" s="53">
        <v>43110</v>
      </c>
      <c r="L492" s="54">
        <v>2</v>
      </c>
    </row>
    <row r="493" spans="1:12" ht="15" x14ac:dyDescent="0.25">
      <c r="A493" s="39" t="s">
        <v>631</v>
      </c>
      <c r="B493" s="46" t="s">
        <v>251</v>
      </c>
      <c r="C493" s="39" t="s">
        <v>750</v>
      </c>
      <c r="D493" s="72">
        <v>264960848</v>
      </c>
      <c r="E493" s="73">
        <v>9195012757</v>
      </c>
      <c r="F493" s="39" t="s">
        <v>247</v>
      </c>
      <c r="G493" s="81">
        <v>33286</v>
      </c>
      <c r="H493" s="105" t="str">
        <f t="shared" si="38"/>
        <v>February</v>
      </c>
      <c r="I493" s="51">
        <f t="shared" ca="1" si="39"/>
        <v>25</v>
      </c>
      <c r="J493" s="52"/>
      <c r="K493" s="53">
        <v>49070</v>
      </c>
      <c r="L493" s="54">
        <v>3</v>
      </c>
    </row>
    <row r="494" spans="1:12" ht="15" x14ac:dyDescent="0.25">
      <c r="A494" s="39" t="s">
        <v>957</v>
      </c>
      <c r="B494" s="46" t="s">
        <v>271</v>
      </c>
      <c r="C494" s="39" t="s">
        <v>750</v>
      </c>
      <c r="D494" s="72">
        <v>134557291</v>
      </c>
      <c r="E494" s="73">
        <v>2525536623</v>
      </c>
      <c r="F494" s="39" t="s">
        <v>256</v>
      </c>
      <c r="G494" s="81">
        <v>33113</v>
      </c>
      <c r="H494" s="105" t="str">
        <f t="shared" si="38"/>
        <v>August</v>
      </c>
      <c r="I494" s="51">
        <f t="shared" ca="1" si="39"/>
        <v>26</v>
      </c>
      <c r="J494" s="52" t="s">
        <v>257</v>
      </c>
      <c r="K494" s="53">
        <v>32600</v>
      </c>
      <c r="L494" s="54">
        <v>5</v>
      </c>
    </row>
    <row r="495" spans="1:12" ht="15" x14ac:dyDescent="0.25">
      <c r="A495" s="39"/>
      <c r="B495" s="46"/>
      <c r="C495" s="111"/>
      <c r="D495" s="72"/>
      <c r="E495" s="73"/>
      <c r="F495" s="39"/>
      <c r="G495" s="81"/>
      <c r="H495" s="105"/>
      <c r="I495" s="51"/>
      <c r="J495" s="52"/>
      <c r="K495" s="53"/>
      <c r="L495" s="54"/>
    </row>
    <row r="496" spans="1:12" ht="15" x14ac:dyDescent="0.25">
      <c r="A496" s="39" t="s">
        <v>917</v>
      </c>
      <c r="B496" s="46" t="s">
        <v>245</v>
      </c>
      <c r="C496" s="39" t="s">
        <v>767</v>
      </c>
      <c r="D496" s="72">
        <v>570756015</v>
      </c>
      <c r="E496" s="73">
        <v>2522238535</v>
      </c>
      <c r="F496" s="39" t="s">
        <v>261</v>
      </c>
      <c r="G496" s="103">
        <v>40421</v>
      </c>
      <c r="H496" s="105" t="str">
        <f t="shared" ref="H496:H527" si="40">CHOOSE(MONTH(G496),"January","February","March","April","May","June","July","August","September","October","November","December")</f>
        <v>August</v>
      </c>
      <c r="I496" s="51">
        <f t="shared" ref="I496:I527" ca="1" si="41">DATEDIF(G496,TODAY(),"Y")</f>
        <v>6</v>
      </c>
      <c r="J496" s="52" t="s">
        <v>262</v>
      </c>
      <c r="K496" s="53">
        <v>49355</v>
      </c>
      <c r="L496" s="54">
        <v>5</v>
      </c>
    </row>
    <row r="497" spans="1:12" ht="15" x14ac:dyDescent="0.25">
      <c r="A497" s="39" t="s">
        <v>445</v>
      </c>
      <c r="B497" s="46" t="s">
        <v>285</v>
      </c>
      <c r="C497" s="39" t="s">
        <v>767</v>
      </c>
      <c r="D497" s="72">
        <v>938723321</v>
      </c>
      <c r="E497" s="73">
        <v>9196456972</v>
      </c>
      <c r="F497" s="39" t="s">
        <v>247</v>
      </c>
      <c r="G497" s="81">
        <v>39343</v>
      </c>
      <c r="H497" s="105" t="str">
        <f t="shared" si="40"/>
        <v>September</v>
      </c>
      <c r="I497" s="51">
        <f t="shared" ca="1" si="41"/>
        <v>9</v>
      </c>
      <c r="J497" s="52"/>
      <c r="K497" s="53">
        <v>89640</v>
      </c>
      <c r="L497" s="54">
        <v>4</v>
      </c>
    </row>
    <row r="498" spans="1:12" ht="15" x14ac:dyDescent="0.25">
      <c r="A498" s="39" t="s">
        <v>424</v>
      </c>
      <c r="B498" s="46" t="s">
        <v>280</v>
      </c>
      <c r="C498" s="39" t="s">
        <v>767</v>
      </c>
      <c r="D498" s="72">
        <v>422463024</v>
      </c>
      <c r="E498" s="73">
        <v>9193876146</v>
      </c>
      <c r="F498" s="39" t="s">
        <v>256</v>
      </c>
      <c r="G498" s="81">
        <v>34693</v>
      </c>
      <c r="H498" s="105" t="str">
        <f t="shared" si="40"/>
        <v>December</v>
      </c>
      <c r="I498" s="51">
        <f t="shared" ca="1" si="41"/>
        <v>21</v>
      </c>
      <c r="J498" s="52" t="s">
        <v>262</v>
      </c>
      <c r="K498" s="53">
        <v>88820</v>
      </c>
      <c r="L498" s="54">
        <v>2</v>
      </c>
    </row>
    <row r="499" spans="1:12" ht="15" x14ac:dyDescent="0.25">
      <c r="A499" s="39" t="s">
        <v>984</v>
      </c>
      <c r="B499" s="46" t="s">
        <v>271</v>
      </c>
      <c r="C499" s="39" t="s">
        <v>767</v>
      </c>
      <c r="D499" s="72">
        <v>737152868</v>
      </c>
      <c r="E499" s="73">
        <v>9191124357</v>
      </c>
      <c r="F499" s="39" t="s">
        <v>256</v>
      </c>
      <c r="G499" s="81">
        <v>36673</v>
      </c>
      <c r="H499" s="105" t="str">
        <f t="shared" si="40"/>
        <v>May</v>
      </c>
      <c r="I499" s="51">
        <f t="shared" ca="1" si="41"/>
        <v>16</v>
      </c>
      <c r="J499" s="52" t="s">
        <v>276</v>
      </c>
      <c r="K499" s="53">
        <v>48330</v>
      </c>
      <c r="L499" s="54">
        <v>1</v>
      </c>
    </row>
    <row r="500" spans="1:12" ht="15" x14ac:dyDescent="0.25">
      <c r="A500" s="39" t="s">
        <v>393</v>
      </c>
      <c r="B500" s="46" t="s">
        <v>245</v>
      </c>
      <c r="C500" s="39" t="s">
        <v>767</v>
      </c>
      <c r="D500" s="72">
        <v>217968415</v>
      </c>
      <c r="E500" s="73">
        <v>2522814530</v>
      </c>
      <c r="F500" s="39" t="s">
        <v>256</v>
      </c>
      <c r="G500" s="81">
        <v>35821</v>
      </c>
      <c r="H500" s="105" t="str">
        <f t="shared" si="40"/>
        <v>January</v>
      </c>
      <c r="I500" s="51">
        <f t="shared" ca="1" si="41"/>
        <v>18</v>
      </c>
      <c r="J500" s="52" t="s">
        <v>267</v>
      </c>
      <c r="K500" s="53">
        <v>22870</v>
      </c>
      <c r="L500" s="54">
        <v>3</v>
      </c>
    </row>
    <row r="501" spans="1:12" ht="15" x14ac:dyDescent="0.25">
      <c r="A501" s="39" t="s">
        <v>364</v>
      </c>
      <c r="B501" s="46" t="s">
        <v>271</v>
      </c>
      <c r="C501" s="39" t="s">
        <v>767</v>
      </c>
      <c r="D501" s="72">
        <v>505680981</v>
      </c>
      <c r="E501" s="73">
        <v>2527557761</v>
      </c>
      <c r="F501" s="39" t="s">
        <v>256</v>
      </c>
      <c r="G501" s="81">
        <v>37138</v>
      </c>
      <c r="H501" s="105" t="str">
        <f t="shared" si="40"/>
        <v>September</v>
      </c>
      <c r="I501" s="51">
        <f t="shared" ca="1" si="41"/>
        <v>15</v>
      </c>
      <c r="J501" s="52" t="s">
        <v>257</v>
      </c>
      <c r="K501" s="53">
        <v>29130</v>
      </c>
      <c r="L501" s="54">
        <v>1</v>
      </c>
    </row>
    <row r="502" spans="1:12" ht="15" x14ac:dyDescent="0.25">
      <c r="A502" s="39" t="s">
        <v>352</v>
      </c>
      <c r="B502" s="46" t="s">
        <v>271</v>
      </c>
      <c r="C502" s="39" t="s">
        <v>767</v>
      </c>
      <c r="D502" s="72">
        <v>728567428</v>
      </c>
      <c r="E502" s="73">
        <v>2521957923</v>
      </c>
      <c r="F502" s="39" t="s">
        <v>256</v>
      </c>
      <c r="G502" s="81">
        <v>40624</v>
      </c>
      <c r="H502" s="105" t="str">
        <f t="shared" si="40"/>
        <v>March</v>
      </c>
      <c r="I502" s="51">
        <f t="shared" ca="1" si="41"/>
        <v>5</v>
      </c>
      <c r="J502" s="52" t="s">
        <v>276</v>
      </c>
      <c r="K502" s="53">
        <v>86500</v>
      </c>
      <c r="L502" s="54">
        <v>1</v>
      </c>
    </row>
    <row r="503" spans="1:12" ht="15" x14ac:dyDescent="0.25">
      <c r="A503" s="39" t="s">
        <v>653</v>
      </c>
      <c r="B503" s="46" t="s">
        <v>271</v>
      </c>
      <c r="C503" s="39" t="s">
        <v>767</v>
      </c>
      <c r="D503" s="72">
        <v>978154935</v>
      </c>
      <c r="E503" s="73">
        <v>2521384592</v>
      </c>
      <c r="F503" s="39" t="s">
        <v>256</v>
      </c>
      <c r="G503" s="81">
        <v>36195</v>
      </c>
      <c r="H503" s="105" t="str">
        <f t="shared" si="40"/>
        <v>February</v>
      </c>
      <c r="I503" s="51">
        <f t="shared" ca="1" si="41"/>
        <v>17</v>
      </c>
      <c r="J503" s="52" t="s">
        <v>267</v>
      </c>
      <c r="K503" s="53">
        <v>46360</v>
      </c>
      <c r="L503" s="54">
        <v>5</v>
      </c>
    </row>
    <row r="504" spans="1:12" ht="15" x14ac:dyDescent="0.25">
      <c r="A504" s="39" t="s">
        <v>774</v>
      </c>
      <c r="B504" s="46" t="s">
        <v>285</v>
      </c>
      <c r="C504" s="39" t="s">
        <v>767</v>
      </c>
      <c r="D504" s="72">
        <v>933883118</v>
      </c>
      <c r="E504" s="73">
        <v>2523294956</v>
      </c>
      <c r="F504" s="39" t="s">
        <v>247</v>
      </c>
      <c r="G504" s="81">
        <v>34658</v>
      </c>
      <c r="H504" s="105" t="str">
        <f t="shared" si="40"/>
        <v>November</v>
      </c>
      <c r="I504" s="51">
        <f t="shared" ca="1" si="41"/>
        <v>21</v>
      </c>
      <c r="J504" s="52"/>
      <c r="K504" s="53">
        <v>85980</v>
      </c>
      <c r="L504" s="54">
        <v>2</v>
      </c>
    </row>
    <row r="505" spans="1:12" ht="15" x14ac:dyDescent="0.25">
      <c r="A505" s="39" t="s">
        <v>827</v>
      </c>
      <c r="B505" s="46" t="s">
        <v>285</v>
      </c>
      <c r="C505" s="39" t="s">
        <v>767</v>
      </c>
      <c r="D505" s="72">
        <v>161439267</v>
      </c>
      <c r="E505" s="73">
        <v>9197600603</v>
      </c>
      <c r="F505" s="39" t="s">
        <v>256</v>
      </c>
      <c r="G505" s="81">
        <v>39362</v>
      </c>
      <c r="H505" s="105" t="str">
        <f t="shared" si="40"/>
        <v>October</v>
      </c>
      <c r="I505" s="51">
        <f t="shared" ca="1" si="41"/>
        <v>9</v>
      </c>
      <c r="J505" s="52" t="s">
        <v>262</v>
      </c>
      <c r="K505" s="53">
        <v>42020</v>
      </c>
      <c r="L505" s="54">
        <v>5</v>
      </c>
    </row>
    <row r="506" spans="1:12" ht="15" x14ac:dyDescent="0.25">
      <c r="A506" s="39" t="s">
        <v>638</v>
      </c>
      <c r="B506" s="46" t="s">
        <v>285</v>
      </c>
      <c r="C506" s="39" t="s">
        <v>767</v>
      </c>
      <c r="D506" s="72">
        <v>552528553</v>
      </c>
      <c r="E506" s="73">
        <v>9194310812</v>
      </c>
      <c r="F506" s="39" t="s">
        <v>252</v>
      </c>
      <c r="G506" s="81">
        <v>36340</v>
      </c>
      <c r="H506" s="105" t="str">
        <f t="shared" si="40"/>
        <v>June</v>
      </c>
      <c r="I506" s="51">
        <f t="shared" ca="1" si="41"/>
        <v>17</v>
      </c>
      <c r="J506" s="52"/>
      <c r="K506" s="53">
        <v>37016</v>
      </c>
      <c r="L506" s="54">
        <v>4</v>
      </c>
    </row>
    <row r="507" spans="1:12" ht="15" x14ac:dyDescent="0.25">
      <c r="A507" s="39" t="s">
        <v>708</v>
      </c>
      <c r="B507" s="46" t="s">
        <v>245</v>
      </c>
      <c r="C507" s="39" t="s">
        <v>767</v>
      </c>
      <c r="D507" s="72">
        <v>484442635</v>
      </c>
      <c r="E507" s="73">
        <v>2527194901</v>
      </c>
      <c r="F507" s="39" t="s">
        <v>247</v>
      </c>
      <c r="G507" s="81">
        <v>33167</v>
      </c>
      <c r="H507" s="105" t="str">
        <f t="shared" si="40"/>
        <v>October</v>
      </c>
      <c r="I507" s="51">
        <f t="shared" ca="1" si="41"/>
        <v>26</v>
      </c>
      <c r="J507" s="52"/>
      <c r="K507" s="53">
        <v>23020</v>
      </c>
      <c r="L507" s="54">
        <v>4</v>
      </c>
    </row>
    <row r="508" spans="1:12" ht="15" x14ac:dyDescent="0.25">
      <c r="A508" s="39" t="s">
        <v>776</v>
      </c>
      <c r="B508" s="46" t="s">
        <v>251</v>
      </c>
      <c r="C508" s="39" t="s">
        <v>767</v>
      </c>
      <c r="D508" s="72">
        <v>265323292</v>
      </c>
      <c r="E508" s="73">
        <v>2522939413</v>
      </c>
      <c r="F508" s="39" t="s">
        <v>256</v>
      </c>
      <c r="G508" s="81">
        <v>36136</v>
      </c>
      <c r="H508" s="105" t="str">
        <f t="shared" si="40"/>
        <v>December</v>
      </c>
      <c r="I508" s="51">
        <f t="shared" ca="1" si="41"/>
        <v>17</v>
      </c>
      <c r="J508" s="52" t="s">
        <v>283</v>
      </c>
      <c r="K508" s="53">
        <v>45000</v>
      </c>
      <c r="L508" s="54">
        <v>4</v>
      </c>
    </row>
    <row r="509" spans="1:12" ht="15" x14ac:dyDescent="0.25">
      <c r="A509" s="39" t="s">
        <v>726</v>
      </c>
      <c r="B509" s="46" t="s">
        <v>271</v>
      </c>
      <c r="C509" s="39" t="s">
        <v>767</v>
      </c>
      <c r="D509" s="72">
        <v>558903229</v>
      </c>
      <c r="E509" s="73">
        <v>9195699651</v>
      </c>
      <c r="F509" s="39" t="s">
        <v>256</v>
      </c>
      <c r="G509" s="81">
        <v>34061</v>
      </c>
      <c r="H509" s="105" t="str">
        <f t="shared" si="40"/>
        <v>April</v>
      </c>
      <c r="I509" s="51">
        <f t="shared" ca="1" si="41"/>
        <v>23</v>
      </c>
      <c r="J509" s="52" t="s">
        <v>257</v>
      </c>
      <c r="K509" s="53">
        <v>23320</v>
      </c>
      <c r="L509" s="54">
        <v>4</v>
      </c>
    </row>
    <row r="510" spans="1:12" ht="15" x14ac:dyDescent="0.25">
      <c r="A510" s="39" t="s">
        <v>985</v>
      </c>
      <c r="B510" s="46" t="s">
        <v>245</v>
      </c>
      <c r="C510" s="39" t="s">
        <v>767</v>
      </c>
      <c r="D510" s="72">
        <v>433314045</v>
      </c>
      <c r="E510" s="73">
        <v>2522543210</v>
      </c>
      <c r="F510" s="39" t="s">
        <v>247</v>
      </c>
      <c r="G510" s="81">
        <v>33638</v>
      </c>
      <c r="H510" s="105" t="str">
        <f t="shared" si="40"/>
        <v>February</v>
      </c>
      <c r="I510" s="51">
        <f t="shared" ca="1" si="41"/>
        <v>24</v>
      </c>
      <c r="J510" s="52"/>
      <c r="K510" s="53">
        <v>47590</v>
      </c>
      <c r="L510" s="54">
        <v>3</v>
      </c>
    </row>
    <row r="511" spans="1:12" ht="15" x14ac:dyDescent="0.25">
      <c r="A511" s="39" t="s">
        <v>948</v>
      </c>
      <c r="B511" s="46" t="s">
        <v>271</v>
      </c>
      <c r="C511" s="39" t="s">
        <v>767</v>
      </c>
      <c r="D511" s="72">
        <v>880747384</v>
      </c>
      <c r="E511" s="73">
        <v>9195220001</v>
      </c>
      <c r="F511" s="39" t="s">
        <v>256</v>
      </c>
      <c r="G511" s="81">
        <v>33526</v>
      </c>
      <c r="H511" s="105" t="str">
        <f t="shared" si="40"/>
        <v>October</v>
      </c>
      <c r="I511" s="51">
        <f t="shared" ca="1" si="41"/>
        <v>25</v>
      </c>
      <c r="J511" s="52" t="s">
        <v>267</v>
      </c>
      <c r="K511" s="53">
        <v>79400</v>
      </c>
      <c r="L511" s="54">
        <v>4</v>
      </c>
    </row>
    <row r="512" spans="1:12" ht="15" x14ac:dyDescent="0.25">
      <c r="A512" s="39" t="s">
        <v>557</v>
      </c>
      <c r="B512" s="46" t="s">
        <v>271</v>
      </c>
      <c r="C512" s="39" t="s">
        <v>767</v>
      </c>
      <c r="D512" s="72">
        <v>462650472</v>
      </c>
      <c r="E512" s="73">
        <v>2521276517</v>
      </c>
      <c r="F512" s="39" t="s">
        <v>247</v>
      </c>
      <c r="G512" s="81">
        <v>33402</v>
      </c>
      <c r="H512" s="105" t="str">
        <f t="shared" si="40"/>
        <v>June</v>
      </c>
      <c r="I512" s="51">
        <f t="shared" ca="1" si="41"/>
        <v>25</v>
      </c>
      <c r="J512" s="52"/>
      <c r="K512" s="53">
        <v>79380</v>
      </c>
      <c r="L512" s="54">
        <v>1</v>
      </c>
    </row>
    <row r="513" spans="1:12" ht="15" x14ac:dyDescent="0.25">
      <c r="A513" s="39" t="s">
        <v>596</v>
      </c>
      <c r="B513" s="46" t="s">
        <v>251</v>
      </c>
      <c r="C513" s="39" t="s">
        <v>767</v>
      </c>
      <c r="D513" s="72">
        <v>698472533</v>
      </c>
      <c r="E513" s="73">
        <v>9192917217</v>
      </c>
      <c r="F513" s="39" t="s">
        <v>247</v>
      </c>
      <c r="G513" s="81">
        <v>35699</v>
      </c>
      <c r="H513" s="105" t="str">
        <f t="shared" si="40"/>
        <v>September</v>
      </c>
      <c r="I513" s="51">
        <f t="shared" ca="1" si="41"/>
        <v>19</v>
      </c>
      <c r="J513" s="52"/>
      <c r="K513" s="53">
        <v>36230</v>
      </c>
      <c r="L513" s="54">
        <v>2</v>
      </c>
    </row>
    <row r="514" spans="1:12" ht="15" x14ac:dyDescent="0.25">
      <c r="A514" s="39" t="s">
        <v>609</v>
      </c>
      <c r="B514" s="46" t="s">
        <v>245</v>
      </c>
      <c r="C514" s="39" t="s">
        <v>767</v>
      </c>
      <c r="D514" s="72">
        <v>452255054</v>
      </c>
      <c r="E514" s="73">
        <v>9196114005</v>
      </c>
      <c r="F514" s="39" t="s">
        <v>247</v>
      </c>
      <c r="G514" s="81">
        <v>33578</v>
      </c>
      <c r="H514" s="105" t="str">
        <f t="shared" si="40"/>
        <v>December</v>
      </c>
      <c r="I514" s="51">
        <f t="shared" ca="1" si="41"/>
        <v>24</v>
      </c>
      <c r="J514" s="52"/>
      <c r="K514" s="53">
        <v>50840</v>
      </c>
      <c r="L514" s="54">
        <v>4</v>
      </c>
    </row>
    <row r="515" spans="1:12" ht="15" x14ac:dyDescent="0.25">
      <c r="A515" s="39" t="s">
        <v>449</v>
      </c>
      <c r="B515" s="46" t="s">
        <v>271</v>
      </c>
      <c r="C515" s="39" t="s">
        <v>767</v>
      </c>
      <c r="D515" s="72">
        <v>924942231</v>
      </c>
      <c r="E515" s="73">
        <v>9193279828</v>
      </c>
      <c r="F515" s="39" t="s">
        <v>261</v>
      </c>
      <c r="G515" s="81">
        <v>40166</v>
      </c>
      <c r="H515" s="105" t="str">
        <f t="shared" si="40"/>
        <v>December</v>
      </c>
      <c r="I515" s="51">
        <f t="shared" ca="1" si="41"/>
        <v>6</v>
      </c>
      <c r="J515" s="52" t="s">
        <v>276</v>
      </c>
      <c r="K515" s="53">
        <v>25245</v>
      </c>
      <c r="L515" s="54">
        <v>5</v>
      </c>
    </row>
    <row r="516" spans="1:12" ht="15" x14ac:dyDescent="0.25">
      <c r="A516" s="39" t="s">
        <v>995</v>
      </c>
      <c r="B516" s="46" t="s">
        <v>245</v>
      </c>
      <c r="C516" s="39" t="s">
        <v>767</v>
      </c>
      <c r="D516" s="72">
        <v>106686151</v>
      </c>
      <c r="E516" s="73">
        <v>2521246633</v>
      </c>
      <c r="F516" s="39" t="s">
        <v>247</v>
      </c>
      <c r="G516" s="81">
        <v>36086</v>
      </c>
      <c r="H516" s="105" t="str">
        <f t="shared" si="40"/>
        <v>October</v>
      </c>
      <c r="I516" s="51">
        <f t="shared" ca="1" si="41"/>
        <v>18</v>
      </c>
      <c r="J516" s="52"/>
      <c r="K516" s="53">
        <v>47520</v>
      </c>
      <c r="L516" s="54">
        <v>1</v>
      </c>
    </row>
    <row r="517" spans="1:12" ht="15" x14ac:dyDescent="0.25">
      <c r="A517" s="39" t="s">
        <v>330</v>
      </c>
      <c r="B517" s="46" t="s">
        <v>285</v>
      </c>
      <c r="C517" s="39" t="s">
        <v>767</v>
      </c>
      <c r="D517" s="72">
        <v>945160038</v>
      </c>
      <c r="E517" s="73">
        <v>2527909707</v>
      </c>
      <c r="F517" s="39" t="s">
        <v>256</v>
      </c>
      <c r="G517" s="81">
        <v>37701</v>
      </c>
      <c r="H517" s="105" t="str">
        <f t="shared" si="40"/>
        <v>March</v>
      </c>
      <c r="I517" s="51">
        <f t="shared" ca="1" si="41"/>
        <v>13</v>
      </c>
      <c r="J517" s="52" t="s">
        <v>262</v>
      </c>
      <c r="K517" s="53">
        <v>23560</v>
      </c>
      <c r="L517" s="54">
        <v>3</v>
      </c>
    </row>
    <row r="518" spans="1:12" ht="15" x14ac:dyDescent="0.25">
      <c r="A518" s="39" t="s">
        <v>584</v>
      </c>
      <c r="B518" s="46" t="s">
        <v>271</v>
      </c>
      <c r="C518" s="39" t="s">
        <v>767</v>
      </c>
      <c r="D518" s="72">
        <v>503036433</v>
      </c>
      <c r="E518" s="73">
        <v>9192453666</v>
      </c>
      <c r="F518" s="39" t="s">
        <v>256</v>
      </c>
      <c r="G518" s="81">
        <v>33460</v>
      </c>
      <c r="H518" s="105" t="str">
        <f t="shared" si="40"/>
        <v>August</v>
      </c>
      <c r="I518" s="51">
        <f t="shared" ca="1" si="41"/>
        <v>25</v>
      </c>
      <c r="J518" s="52" t="s">
        <v>267</v>
      </c>
      <c r="K518" s="53">
        <v>77740</v>
      </c>
      <c r="L518" s="54">
        <v>1</v>
      </c>
    </row>
    <row r="519" spans="1:12" ht="15" x14ac:dyDescent="0.25">
      <c r="A519" s="39" t="s">
        <v>556</v>
      </c>
      <c r="B519" s="46" t="s">
        <v>280</v>
      </c>
      <c r="C519" s="39" t="s">
        <v>767</v>
      </c>
      <c r="D519" s="72">
        <v>886332647</v>
      </c>
      <c r="E519" s="73">
        <v>2526698101</v>
      </c>
      <c r="F519" s="39" t="s">
        <v>256</v>
      </c>
      <c r="G519" s="81">
        <v>37848</v>
      </c>
      <c r="H519" s="105" t="str">
        <f t="shared" si="40"/>
        <v>August</v>
      </c>
      <c r="I519" s="51">
        <f t="shared" ca="1" si="41"/>
        <v>13</v>
      </c>
      <c r="J519" s="52" t="s">
        <v>262</v>
      </c>
      <c r="K519" s="53">
        <v>76910</v>
      </c>
      <c r="L519" s="54">
        <v>2</v>
      </c>
    </row>
    <row r="520" spans="1:12" ht="15" x14ac:dyDescent="0.25">
      <c r="A520" s="39" t="s">
        <v>976</v>
      </c>
      <c r="B520" s="46" t="s">
        <v>280</v>
      </c>
      <c r="C520" s="39" t="s">
        <v>767</v>
      </c>
      <c r="D520" s="72">
        <v>445693854</v>
      </c>
      <c r="E520" s="73">
        <v>9192891217</v>
      </c>
      <c r="F520" s="39" t="s">
        <v>247</v>
      </c>
      <c r="G520" s="81">
        <v>34915</v>
      </c>
      <c r="H520" s="105" t="str">
        <f t="shared" si="40"/>
        <v>August</v>
      </c>
      <c r="I520" s="51">
        <f t="shared" ca="1" si="41"/>
        <v>21</v>
      </c>
      <c r="J520" s="52"/>
      <c r="K520" s="53">
        <v>76870</v>
      </c>
      <c r="L520" s="54">
        <v>5</v>
      </c>
    </row>
    <row r="521" spans="1:12" ht="15" x14ac:dyDescent="0.25">
      <c r="A521" s="39" t="s">
        <v>780</v>
      </c>
      <c r="B521" s="46" t="s">
        <v>280</v>
      </c>
      <c r="C521" s="39" t="s">
        <v>767</v>
      </c>
      <c r="D521" s="72">
        <v>369210573</v>
      </c>
      <c r="E521" s="73">
        <v>2526555049</v>
      </c>
      <c r="F521" s="39" t="s">
        <v>261</v>
      </c>
      <c r="G521" s="81">
        <v>36217</v>
      </c>
      <c r="H521" s="105" t="str">
        <f t="shared" si="40"/>
        <v>February</v>
      </c>
      <c r="I521" s="51">
        <f t="shared" ca="1" si="41"/>
        <v>17</v>
      </c>
      <c r="J521" s="52" t="s">
        <v>283</v>
      </c>
      <c r="K521" s="53">
        <v>22475</v>
      </c>
      <c r="L521" s="54">
        <v>4</v>
      </c>
    </row>
    <row r="522" spans="1:12" ht="15" x14ac:dyDescent="0.25">
      <c r="A522" s="39" t="s">
        <v>426</v>
      </c>
      <c r="B522" s="46" t="s">
        <v>285</v>
      </c>
      <c r="C522" s="39" t="s">
        <v>767</v>
      </c>
      <c r="D522" s="72">
        <v>592519945</v>
      </c>
      <c r="E522" s="73">
        <v>9195990200</v>
      </c>
      <c r="F522" s="39" t="s">
        <v>256</v>
      </c>
      <c r="G522" s="81">
        <v>39446</v>
      </c>
      <c r="H522" s="105" t="str">
        <f t="shared" si="40"/>
        <v>December</v>
      </c>
      <c r="I522" s="51">
        <f t="shared" ca="1" si="41"/>
        <v>8</v>
      </c>
      <c r="J522" s="52" t="s">
        <v>257</v>
      </c>
      <c r="K522" s="53">
        <v>44650</v>
      </c>
      <c r="L522" s="54">
        <v>1</v>
      </c>
    </row>
    <row r="523" spans="1:12" ht="15" x14ac:dyDescent="0.25">
      <c r="A523" s="39" t="s">
        <v>548</v>
      </c>
      <c r="B523" s="46" t="s">
        <v>285</v>
      </c>
      <c r="C523" s="39" t="s">
        <v>767</v>
      </c>
      <c r="D523" s="72">
        <v>528258211</v>
      </c>
      <c r="E523" s="73">
        <v>9194727385</v>
      </c>
      <c r="F523" s="39" t="s">
        <v>256</v>
      </c>
      <c r="G523" s="81">
        <v>33128</v>
      </c>
      <c r="H523" s="105" t="str">
        <f t="shared" si="40"/>
        <v>September</v>
      </c>
      <c r="I523" s="51">
        <f t="shared" ca="1" si="41"/>
        <v>26</v>
      </c>
      <c r="J523" s="52" t="s">
        <v>267</v>
      </c>
      <c r="K523" s="53">
        <v>46110</v>
      </c>
      <c r="L523" s="54">
        <v>4</v>
      </c>
    </row>
    <row r="524" spans="1:12" ht="15" x14ac:dyDescent="0.25">
      <c r="A524" s="39" t="s">
        <v>762</v>
      </c>
      <c r="B524" s="46" t="s">
        <v>285</v>
      </c>
      <c r="C524" s="39" t="s">
        <v>767</v>
      </c>
      <c r="D524" s="72">
        <v>569882669</v>
      </c>
      <c r="E524" s="73">
        <v>2523122083</v>
      </c>
      <c r="F524" s="39" t="s">
        <v>256</v>
      </c>
      <c r="G524" s="81">
        <v>37568</v>
      </c>
      <c r="H524" s="105" t="str">
        <f t="shared" si="40"/>
        <v>November</v>
      </c>
      <c r="I524" s="51">
        <f t="shared" ca="1" si="41"/>
        <v>14</v>
      </c>
      <c r="J524" s="52" t="s">
        <v>262</v>
      </c>
      <c r="K524" s="53">
        <v>45100</v>
      </c>
      <c r="L524" s="54">
        <v>2</v>
      </c>
    </row>
    <row r="525" spans="1:12" ht="15" x14ac:dyDescent="0.25">
      <c r="A525" s="39" t="s">
        <v>820</v>
      </c>
      <c r="B525" s="46" t="s">
        <v>245</v>
      </c>
      <c r="C525" s="39" t="s">
        <v>767</v>
      </c>
      <c r="D525" s="72">
        <v>378882665</v>
      </c>
      <c r="E525" s="73">
        <v>2526079829</v>
      </c>
      <c r="F525" s="39" t="s">
        <v>261</v>
      </c>
      <c r="G525" s="81">
        <v>33671</v>
      </c>
      <c r="H525" s="105" t="str">
        <f t="shared" si="40"/>
        <v>March</v>
      </c>
      <c r="I525" s="51">
        <f t="shared" ca="1" si="41"/>
        <v>24</v>
      </c>
      <c r="J525" s="52" t="s">
        <v>257</v>
      </c>
      <c r="K525" s="53">
        <v>46380</v>
      </c>
      <c r="L525" s="54">
        <v>3</v>
      </c>
    </row>
    <row r="526" spans="1:12" ht="15" x14ac:dyDescent="0.25">
      <c r="A526" s="39" t="s">
        <v>459</v>
      </c>
      <c r="B526" s="46" t="s">
        <v>266</v>
      </c>
      <c r="C526" s="39" t="s">
        <v>767</v>
      </c>
      <c r="D526" s="72">
        <v>289103201</v>
      </c>
      <c r="E526" s="73">
        <v>9192921836</v>
      </c>
      <c r="F526" s="39" t="s">
        <v>256</v>
      </c>
      <c r="G526" s="81">
        <v>39217</v>
      </c>
      <c r="H526" s="105" t="str">
        <f t="shared" si="40"/>
        <v>May</v>
      </c>
      <c r="I526" s="51">
        <f t="shared" ca="1" si="41"/>
        <v>9</v>
      </c>
      <c r="J526" s="52" t="s">
        <v>257</v>
      </c>
      <c r="K526" s="53">
        <v>73830</v>
      </c>
      <c r="L526" s="54">
        <v>2</v>
      </c>
    </row>
    <row r="527" spans="1:12" ht="15" x14ac:dyDescent="0.25">
      <c r="A527" s="39" t="s">
        <v>534</v>
      </c>
      <c r="B527" s="46" t="s">
        <v>251</v>
      </c>
      <c r="C527" s="39" t="s">
        <v>767</v>
      </c>
      <c r="D527" s="72">
        <v>343185481</v>
      </c>
      <c r="E527" s="73">
        <v>9196446519</v>
      </c>
      <c r="F527" s="39" t="s">
        <v>256</v>
      </c>
      <c r="G527" s="81">
        <v>35918</v>
      </c>
      <c r="H527" s="105" t="str">
        <f t="shared" si="40"/>
        <v>May</v>
      </c>
      <c r="I527" s="51">
        <f t="shared" ca="1" si="41"/>
        <v>18</v>
      </c>
      <c r="J527" s="52" t="s">
        <v>262</v>
      </c>
      <c r="K527" s="53">
        <v>73740</v>
      </c>
      <c r="L527" s="54">
        <v>4</v>
      </c>
    </row>
    <row r="528" spans="1:12" ht="15" x14ac:dyDescent="0.25">
      <c r="A528" s="39" t="s">
        <v>670</v>
      </c>
      <c r="B528" s="46" t="s">
        <v>285</v>
      </c>
      <c r="C528" s="39" t="s">
        <v>767</v>
      </c>
      <c r="D528" s="72">
        <v>963000861</v>
      </c>
      <c r="E528" s="73">
        <v>2522792063</v>
      </c>
      <c r="F528" s="39" t="s">
        <v>247</v>
      </c>
      <c r="G528" s="81">
        <v>35146</v>
      </c>
      <c r="H528" s="105" t="str">
        <f t="shared" ref="H528:H559" si="42">CHOOSE(MONTH(G528),"January","February","March","April","May","June","July","August","September","October","November","December")</f>
        <v>March</v>
      </c>
      <c r="I528" s="51">
        <f t="shared" ref="I528:I559" ca="1" si="43">DATEDIF(G528,TODAY(),"Y")</f>
        <v>20</v>
      </c>
      <c r="J528" s="52"/>
      <c r="K528" s="53">
        <v>73190</v>
      </c>
      <c r="L528" s="54">
        <v>1</v>
      </c>
    </row>
    <row r="529" spans="1:12" ht="15" x14ac:dyDescent="0.25">
      <c r="A529" s="39" t="s">
        <v>715</v>
      </c>
      <c r="B529" s="46" t="s">
        <v>245</v>
      </c>
      <c r="C529" s="39" t="s">
        <v>767</v>
      </c>
      <c r="D529" s="72">
        <v>174159111</v>
      </c>
      <c r="E529" s="73">
        <v>9191675237</v>
      </c>
      <c r="F529" s="39" t="s">
        <v>256</v>
      </c>
      <c r="G529" s="81">
        <v>35286</v>
      </c>
      <c r="H529" s="105" t="str">
        <f t="shared" si="42"/>
        <v>August</v>
      </c>
      <c r="I529" s="51">
        <f t="shared" ca="1" si="43"/>
        <v>20</v>
      </c>
      <c r="J529" s="52" t="s">
        <v>262</v>
      </c>
      <c r="K529" s="53">
        <v>72700</v>
      </c>
      <c r="L529" s="54">
        <v>5</v>
      </c>
    </row>
    <row r="530" spans="1:12" ht="15" x14ac:dyDescent="0.25">
      <c r="A530" s="39" t="s">
        <v>965</v>
      </c>
      <c r="B530" s="46" t="s">
        <v>285</v>
      </c>
      <c r="C530" s="39" t="s">
        <v>767</v>
      </c>
      <c r="D530" s="72">
        <v>468234190</v>
      </c>
      <c r="E530" s="73">
        <v>2521569304</v>
      </c>
      <c r="F530" s="39" t="s">
        <v>256</v>
      </c>
      <c r="G530" s="81">
        <v>35169</v>
      </c>
      <c r="H530" s="105" t="str">
        <f t="shared" si="42"/>
        <v>April</v>
      </c>
      <c r="I530" s="51">
        <f t="shared" ca="1" si="43"/>
        <v>20</v>
      </c>
      <c r="J530" s="52" t="s">
        <v>276</v>
      </c>
      <c r="K530" s="53">
        <v>72640</v>
      </c>
      <c r="L530" s="54">
        <v>3</v>
      </c>
    </row>
    <row r="531" spans="1:12" ht="15" x14ac:dyDescent="0.25">
      <c r="A531" s="39" t="s">
        <v>933</v>
      </c>
      <c r="B531" s="46" t="s">
        <v>285</v>
      </c>
      <c r="C531" s="39" t="s">
        <v>767</v>
      </c>
      <c r="D531" s="72">
        <v>828395582</v>
      </c>
      <c r="E531" s="73">
        <v>9198591986</v>
      </c>
      <c r="F531" s="39" t="s">
        <v>256</v>
      </c>
      <c r="G531" s="81">
        <v>33573</v>
      </c>
      <c r="H531" s="105" t="str">
        <f t="shared" si="42"/>
        <v>December</v>
      </c>
      <c r="I531" s="51">
        <f t="shared" ca="1" si="43"/>
        <v>24</v>
      </c>
      <c r="J531" s="52" t="s">
        <v>276</v>
      </c>
      <c r="K531" s="53">
        <v>71680</v>
      </c>
      <c r="L531" s="54">
        <v>4</v>
      </c>
    </row>
    <row r="532" spans="1:12" ht="15" x14ac:dyDescent="0.25">
      <c r="A532" s="39" t="s">
        <v>497</v>
      </c>
      <c r="B532" s="46" t="s">
        <v>266</v>
      </c>
      <c r="C532" s="39" t="s">
        <v>767</v>
      </c>
      <c r="D532" s="72">
        <v>239847790</v>
      </c>
      <c r="E532" s="73">
        <v>2524045531</v>
      </c>
      <c r="F532" s="39" t="s">
        <v>247</v>
      </c>
      <c r="G532" s="81">
        <v>36375</v>
      </c>
      <c r="H532" s="105" t="str">
        <f t="shared" si="42"/>
        <v>August</v>
      </c>
      <c r="I532" s="51">
        <f t="shared" ca="1" si="43"/>
        <v>17</v>
      </c>
      <c r="J532" s="52"/>
      <c r="K532" s="53">
        <v>71300</v>
      </c>
      <c r="L532" s="54">
        <v>5</v>
      </c>
    </row>
    <row r="533" spans="1:12" ht="15" x14ac:dyDescent="0.25">
      <c r="A533" s="39" t="s">
        <v>1021</v>
      </c>
      <c r="B533" s="46" t="s">
        <v>245</v>
      </c>
      <c r="C533" s="39" t="s">
        <v>767</v>
      </c>
      <c r="D533" s="72">
        <v>525699951</v>
      </c>
      <c r="E533" s="73">
        <v>9198400261</v>
      </c>
      <c r="F533" s="39" t="s">
        <v>252</v>
      </c>
      <c r="G533" s="81">
        <v>35946</v>
      </c>
      <c r="H533" s="105" t="str">
        <f t="shared" si="42"/>
        <v>May</v>
      </c>
      <c r="I533" s="51">
        <f t="shared" ca="1" si="43"/>
        <v>18</v>
      </c>
      <c r="J533" s="52"/>
      <c r="K533" s="53">
        <v>14332</v>
      </c>
      <c r="L533" s="54">
        <v>5</v>
      </c>
    </row>
    <row r="534" spans="1:12" ht="15" x14ac:dyDescent="0.25">
      <c r="A534" s="39" t="s">
        <v>757</v>
      </c>
      <c r="B534" s="46" t="s">
        <v>280</v>
      </c>
      <c r="C534" s="39" t="s">
        <v>767</v>
      </c>
      <c r="D534" s="72">
        <v>486016972</v>
      </c>
      <c r="E534" s="73">
        <v>9194532398</v>
      </c>
      <c r="F534" s="39" t="s">
        <v>261</v>
      </c>
      <c r="G534" s="81">
        <v>39728</v>
      </c>
      <c r="H534" s="105" t="str">
        <f t="shared" si="42"/>
        <v>October</v>
      </c>
      <c r="I534" s="51">
        <f t="shared" ca="1" si="43"/>
        <v>8</v>
      </c>
      <c r="J534" s="52" t="s">
        <v>257</v>
      </c>
      <c r="K534" s="53">
        <v>45565</v>
      </c>
      <c r="L534" s="54">
        <v>1</v>
      </c>
    </row>
    <row r="535" spans="1:12" ht="15" x14ac:dyDescent="0.25">
      <c r="A535" s="39" t="s">
        <v>430</v>
      </c>
      <c r="B535" s="46" t="s">
        <v>271</v>
      </c>
      <c r="C535" s="39" t="s">
        <v>767</v>
      </c>
      <c r="D535" s="72">
        <v>317193890</v>
      </c>
      <c r="E535" s="73">
        <v>9192350434</v>
      </c>
      <c r="F535" s="39" t="s">
        <v>256</v>
      </c>
      <c r="G535" s="81">
        <v>34169</v>
      </c>
      <c r="H535" s="105" t="str">
        <f t="shared" si="42"/>
        <v>July</v>
      </c>
      <c r="I535" s="51">
        <f t="shared" ca="1" si="43"/>
        <v>23</v>
      </c>
      <c r="J535" s="52" t="s">
        <v>267</v>
      </c>
      <c r="K535" s="53">
        <v>69420</v>
      </c>
      <c r="L535" s="54">
        <v>2</v>
      </c>
    </row>
    <row r="536" spans="1:12" ht="15" x14ac:dyDescent="0.25">
      <c r="A536" s="39" t="s">
        <v>990</v>
      </c>
      <c r="B536" s="46" t="s">
        <v>285</v>
      </c>
      <c r="C536" s="39" t="s">
        <v>767</v>
      </c>
      <c r="D536" s="72">
        <v>115404531</v>
      </c>
      <c r="E536" s="73">
        <v>2522636321</v>
      </c>
      <c r="F536" s="39" t="s">
        <v>261</v>
      </c>
      <c r="G536" s="108">
        <v>38173</v>
      </c>
      <c r="H536" s="105" t="str">
        <f t="shared" si="42"/>
        <v>July</v>
      </c>
      <c r="I536" s="51">
        <f t="shared" ca="1" si="43"/>
        <v>12</v>
      </c>
      <c r="J536" s="52" t="s">
        <v>283</v>
      </c>
      <c r="K536" s="53">
        <v>32900</v>
      </c>
      <c r="L536" s="54">
        <v>2</v>
      </c>
    </row>
    <row r="537" spans="1:12" ht="15" x14ac:dyDescent="0.25">
      <c r="A537" s="39" t="s">
        <v>578</v>
      </c>
      <c r="B537" s="46" t="s">
        <v>271</v>
      </c>
      <c r="C537" s="39" t="s">
        <v>767</v>
      </c>
      <c r="D537" s="72">
        <v>867100310</v>
      </c>
      <c r="E537" s="73">
        <v>9191376854</v>
      </c>
      <c r="F537" s="39" t="s">
        <v>256</v>
      </c>
      <c r="G537" s="81">
        <v>36393</v>
      </c>
      <c r="H537" s="105" t="str">
        <f t="shared" si="42"/>
        <v>August</v>
      </c>
      <c r="I537" s="51">
        <f t="shared" ca="1" si="43"/>
        <v>17</v>
      </c>
      <c r="J537" s="52" t="s">
        <v>283</v>
      </c>
      <c r="K537" s="53">
        <v>65910</v>
      </c>
      <c r="L537" s="54">
        <v>5</v>
      </c>
    </row>
    <row r="538" spans="1:12" ht="15" x14ac:dyDescent="0.25">
      <c r="A538" s="39" t="s">
        <v>287</v>
      </c>
      <c r="B538" s="46" t="s">
        <v>271</v>
      </c>
      <c r="C538" s="39" t="s">
        <v>767</v>
      </c>
      <c r="D538" s="72">
        <v>990843236</v>
      </c>
      <c r="E538" s="73">
        <v>9196245634</v>
      </c>
      <c r="F538" s="39" t="s">
        <v>256</v>
      </c>
      <c r="G538" s="81">
        <v>39047</v>
      </c>
      <c r="H538" s="105" t="str">
        <f t="shared" si="42"/>
        <v>November</v>
      </c>
      <c r="I538" s="51">
        <f t="shared" ca="1" si="43"/>
        <v>9</v>
      </c>
      <c r="J538" s="52" t="s">
        <v>283</v>
      </c>
      <c r="K538" s="53">
        <v>65880</v>
      </c>
      <c r="L538" s="54">
        <v>5</v>
      </c>
    </row>
    <row r="539" spans="1:12" ht="15" x14ac:dyDescent="0.25">
      <c r="A539" s="39" t="s">
        <v>546</v>
      </c>
      <c r="B539" s="46" t="s">
        <v>271</v>
      </c>
      <c r="C539" s="39" t="s">
        <v>767</v>
      </c>
      <c r="D539" s="72">
        <v>638495756</v>
      </c>
      <c r="E539" s="73">
        <v>2528922252</v>
      </c>
      <c r="F539" s="39" t="s">
        <v>247</v>
      </c>
      <c r="G539" s="81">
        <v>33949</v>
      </c>
      <c r="H539" s="105" t="str">
        <f t="shared" si="42"/>
        <v>December</v>
      </c>
      <c r="I539" s="51">
        <f t="shared" ca="1" si="43"/>
        <v>23</v>
      </c>
      <c r="J539" s="52"/>
      <c r="K539" s="53">
        <v>44720</v>
      </c>
      <c r="L539" s="54">
        <v>2</v>
      </c>
    </row>
    <row r="540" spans="1:12" ht="15" x14ac:dyDescent="0.25">
      <c r="A540" s="39" t="s">
        <v>875</v>
      </c>
      <c r="B540" s="46" t="s">
        <v>245</v>
      </c>
      <c r="C540" s="39" t="s">
        <v>767</v>
      </c>
      <c r="D540" s="72">
        <v>476243591</v>
      </c>
      <c r="E540" s="73">
        <v>9197188067</v>
      </c>
      <c r="F540" s="39" t="s">
        <v>256</v>
      </c>
      <c r="G540" s="81">
        <v>34989</v>
      </c>
      <c r="H540" s="105" t="str">
        <f t="shared" si="42"/>
        <v>October</v>
      </c>
      <c r="I540" s="51">
        <f t="shared" ca="1" si="43"/>
        <v>21</v>
      </c>
      <c r="J540" s="52" t="s">
        <v>257</v>
      </c>
      <c r="K540" s="53">
        <v>50570</v>
      </c>
      <c r="L540" s="54">
        <v>4</v>
      </c>
    </row>
    <row r="541" spans="1:12" ht="15" x14ac:dyDescent="0.25">
      <c r="A541" s="39" t="s">
        <v>974</v>
      </c>
      <c r="B541" s="46" t="s">
        <v>266</v>
      </c>
      <c r="C541" s="39" t="s">
        <v>767</v>
      </c>
      <c r="D541" s="72">
        <v>868364739</v>
      </c>
      <c r="E541" s="73">
        <v>9195255121</v>
      </c>
      <c r="F541" s="39" t="s">
        <v>261</v>
      </c>
      <c r="G541" s="81">
        <v>40293</v>
      </c>
      <c r="H541" s="105" t="str">
        <f t="shared" si="42"/>
        <v>April</v>
      </c>
      <c r="I541" s="51">
        <f t="shared" ca="1" si="43"/>
        <v>6</v>
      </c>
      <c r="J541" s="52" t="s">
        <v>257</v>
      </c>
      <c r="K541" s="53">
        <v>11810</v>
      </c>
      <c r="L541" s="54">
        <v>1</v>
      </c>
    </row>
    <row r="542" spans="1:12" ht="15" x14ac:dyDescent="0.25">
      <c r="A542" s="39" t="s">
        <v>1032</v>
      </c>
      <c r="B542" s="46" t="s">
        <v>285</v>
      </c>
      <c r="C542" s="39" t="s">
        <v>767</v>
      </c>
      <c r="D542" s="72">
        <v>765512793</v>
      </c>
      <c r="E542" s="73">
        <v>9197686976</v>
      </c>
      <c r="F542" s="39" t="s">
        <v>256</v>
      </c>
      <c r="G542" s="81">
        <v>39864</v>
      </c>
      <c r="H542" s="105" t="str">
        <f t="shared" si="42"/>
        <v>February</v>
      </c>
      <c r="I542" s="51">
        <f t="shared" ca="1" si="43"/>
        <v>7</v>
      </c>
      <c r="J542" s="52" t="s">
        <v>257</v>
      </c>
      <c r="K542" s="53">
        <v>64320</v>
      </c>
      <c r="L542" s="54">
        <v>5</v>
      </c>
    </row>
    <row r="543" spans="1:12" ht="15" x14ac:dyDescent="0.25">
      <c r="A543" s="39" t="s">
        <v>362</v>
      </c>
      <c r="B543" s="46" t="s">
        <v>271</v>
      </c>
      <c r="C543" s="39" t="s">
        <v>767</v>
      </c>
      <c r="D543" s="72">
        <v>278129861</v>
      </c>
      <c r="E543" s="73">
        <v>9198561246</v>
      </c>
      <c r="F543" s="39" t="s">
        <v>247</v>
      </c>
      <c r="G543" s="103">
        <v>40404</v>
      </c>
      <c r="H543" s="105" t="str">
        <f t="shared" si="42"/>
        <v>August</v>
      </c>
      <c r="I543" s="51">
        <f t="shared" ca="1" si="43"/>
        <v>6</v>
      </c>
      <c r="J543" s="52"/>
      <c r="K543" s="53">
        <v>39550</v>
      </c>
      <c r="L543" s="54">
        <v>5</v>
      </c>
    </row>
    <row r="544" spans="1:12" ht="15" x14ac:dyDescent="0.25">
      <c r="A544" s="39" t="s">
        <v>739</v>
      </c>
      <c r="B544" s="46" t="s">
        <v>285</v>
      </c>
      <c r="C544" s="39" t="s">
        <v>767</v>
      </c>
      <c r="D544" s="72">
        <v>967035612</v>
      </c>
      <c r="E544" s="73">
        <v>2528842613</v>
      </c>
      <c r="F544" s="39" t="s">
        <v>256</v>
      </c>
      <c r="G544" s="81">
        <v>34149</v>
      </c>
      <c r="H544" s="105" t="str">
        <f t="shared" si="42"/>
        <v>June</v>
      </c>
      <c r="I544" s="51">
        <f t="shared" ca="1" si="43"/>
        <v>23</v>
      </c>
      <c r="J544" s="52" t="s">
        <v>276</v>
      </c>
      <c r="K544" s="53">
        <v>63440</v>
      </c>
      <c r="L544" s="54">
        <v>3</v>
      </c>
    </row>
    <row r="545" spans="1:12" ht="15" x14ac:dyDescent="0.25">
      <c r="A545" s="39" t="s">
        <v>434</v>
      </c>
      <c r="B545" s="46" t="s">
        <v>285</v>
      </c>
      <c r="C545" s="39" t="s">
        <v>767</v>
      </c>
      <c r="D545" s="72">
        <v>302170290</v>
      </c>
      <c r="E545" s="73">
        <v>9191971988</v>
      </c>
      <c r="F545" s="39" t="s">
        <v>256</v>
      </c>
      <c r="G545" s="81">
        <v>35528</v>
      </c>
      <c r="H545" s="105" t="str">
        <f t="shared" si="42"/>
        <v>April</v>
      </c>
      <c r="I545" s="51">
        <f t="shared" ca="1" si="43"/>
        <v>19</v>
      </c>
      <c r="J545" s="52" t="s">
        <v>257</v>
      </c>
      <c r="K545" s="53">
        <v>63270</v>
      </c>
      <c r="L545" s="54">
        <v>1</v>
      </c>
    </row>
    <row r="546" spans="1:12" ht="15" x14ac:dyDescent="0.25">
      <c r="A546" s="39" t="s">
        <v>642</v>
      </c>
      <c r="B546" s="46" t="s">
        <v>285</v>
      </c>
      <c r="C546" s="39" t="s">
        <v>767</v>
      </c>
      <c r="D546" s="72">
        <v>449987941</v>
      </c>
      <c r="E546" s="73">
        <v>2528742282</v>
      </c>
      <c r="F546" s="39" t="s">
        <v>256</v>
      </c>
      <c r="G546" s="81">
        <v>40477</v>
      </c>
      <c r="H546" s="105" t="str">
        <f t="shared" si="42"/>
        <v>October</v>
      </c>
      <c r="I546" s="51">
        <f t="shared" ca="1" si="43"/>
        <v>6</v>
      </c>
      <c r="J546" s="52" t="s">
        <v>267</v>
      </c>
      <c r="K546" s="53">
        <v>63206</v>
      </c>
      <c r="L546" s="54">
        <v>1</v>
      </c>
    </row>
    <row r="547" spans="1:12" ht="15" x14ac:dyDescent="0.25">
      <c r="A547" s="39" t="s">
        <v>913</v>
      </c>
      <c r="B547" s="46" t="s">
        <v>271</v>
      </c>
      <c r="C547" s="39" t="s">
        <v>767</v>
      </c>
      <c r="D547" s="72">
        <v>191359642</v>
      </c>
      <c r="E547" s="73">
        <v>2528687353</v>
      </c>
      <c r="F547" s="39" t="s">
        <v>256</v>
      </c>
      <c r="G547" s="81">
        <v>33361</v>
      </c>
      <c r="H547" s="105" t="str">
        <f t="shared" si="42"/>
        <v>May</v>
      </c>
      <c r="I547" s="51">
        <f t="shared" ca="1" si="43"/>
        <v>25</v>
      </c>
      <c r="J547" s="52" t="s">
        <v>257</v>
      </c>
      <c r="K547" s="53">
        <v>24090</v>
      </c>
      <c r="L547" s="54">
        <v>4</v>
      </c>
    </row>
    <row r="548" spans="1:12" ht="15" x14ac:dyDescent="0.25">
      <c r="A548" s="39" t="s">
        <v>832</v>
      </c>
      <c r="B548" s="46" t="s">
        <v>245</v>
      </c>
      <c r="C548" s="39" t="s">
        <v>767</v>
      </c>
      <c r="D548" s="72">
        <v>160184934</v>
      </c>
      <c r="E548" s="73">
        <v>9191191599</v>
      </c>
      <c r="F548" s="39" t="s">
        <v>261</v>
      </c>
      <c r="G548" s="81">
        <v>34793</v>
      </c>
      <c r="H548" s="105" t="str">
        <f t="shared" si="42"/>
        <v>April</v>
      </c>
      <c r="I548" s="51">
        <f t="shared" ca="1" si="43"/>
        <v>21</v>
      </c>
      <c r="J548" s="52" t="s">
        <v>283</v>
      </c>
      <c r="K548" s="53">
        <v>10700</v>
      </c>
      <c r="L548" s="54">
        <v>4</v>
      </c>
    </row>
    <row r="549" spans="1:12" ht="15" x14ac:dyDescent="0.25">
      <c r="A549" s="39" t="s">
        <v>607</v>
      </c>
      <c r="B549" s="46" t="s">
        <v>271</v>
      </c>
      <c r="C549" s="39" t="s">
        <v>767</v>
      </c>
      <c r="D549" s="72">
        <v>209846975</v>
      </c>
      <c r="E549" s="73">
        <v>2522639452</v>
      </c>
      <c r="F549" s="39" t="s">
        <v>261</v>
      </c>
      <c r="G549" s="81">
        <v>37249</v>
      </c>
      <c r="H549" s="105" t="str">
        <f t="shared" si="42"/>
        <v>December</v>
      </c>
      <c r="I549" s="51">
        <f t="shared" ca="1" si="43"/>
        <v>14</v>
      </c>
      <c r="J549" s="52" t="s">
        <v>276</v>
      </c>
      <c r="K549" s="53">
        <v>12545</v>
      </c>
      <c r="L549" s="54">
        <v>4</v>
      </c>
    </row>
    <row r="550" spans="1:12" ht="15" x14ac:dyDescent="0.25">
      <c r="A550" s="39" t="s">
        <v>437</v>
      </c>
      <c r="B550" s="46" t="s">
        <v>271</v>
      </c>
      <c r="C550" s="39" t="s">
        <v>767</v>
      </c>
      <c r="D550" s="72">
        <v>379340654</v>
      </c>
      <c r="E550" s="73">
        <v>9198642893</v>
      </c>
      <c r="F550" s="39" t="s">
        <v>256</v>
      </c>
      <c r="G550" s="81">
        <v>35990</v>
      </c>
      <c r="H550" s="105" t="str">
        <f t="shared" si="42"/>
        <v>July</v>
      </c>
      <c r="I550" s="51">
        <f t="shared" ca="1" si="43"/>
        <v>18</v>
      </c>
      <c r="J550" s="52" t="s">
        <v>276</v>
      </c>
      <c r="K550" s="53">
        <v>36890</v>
      </c>
      <c r="L550" s="54">
        <v>1</v>
      </c>
    </row>
    <row r="551" spans="1:12" ht="15" x14ac:dyDescent="0.25">
      <c r="A551" s="39" t="s">
        <v>447</v>
      </c>
      <c r="B551" s="46" t="s">
        <v>266</v>
      </c>
      <c r="C551" s="39" t="s">
        <v>767</v>
      </c>
      <c r="D551" s="72">
        <v>920265140</v>
      </c>
      <c r="E551" s="73">
        <v>2524078104</v>
      </c>
      <c r="F551" s="39" t="s">
        <v>256</v>
      </c>
      <c r="G551" s="81">
        <v>38790</v>
      </c>
      <c r="H551" s="105" t="str">
        <f t="shared" si="42"/>
        <v>March</v>
      </c>
      <c r="I551" s="51">
        <f t="shared" ca="1" si="43"/>
        <v>10</v>
      </c>
      <c r="J551" s="52" t="s">
        <v>262</v>
      </c>
      <c r="K551" s="53">
        <v>62688</v>
      </c>
      <c r="L551" s="54">
        <v>3</v>
      </c>
    </row>
    <row r="552" spans="1:12" ht="15" x14ac:dyDescent="0.25">
      <c r="A552" s="39" t="s">
        <v>1026</v>
      </c>
      <c r="B552" s="46" t="s">
        <v>245</v>
      </c>
      <c r="C552" s="39" t="s">
        <v>767</v>
      </c>
      <c r="D552" s="72">
        <v>643979374</v>
      </c>
      <c r="E552" s="73">
        <v>2521230519</v>
      </c>
      <c r="F552" s="39" t="s">
        <v>247</v>
      </c>
      <c r="G552" s="81">
        <v>35541</v>
      </c>
      <c r="H552" s="105" t="str">
        <f t="shared" si="42"/>
        <v>April</v>
      </c>
      <c r="I552" s="51">
        <f t="shared" ca="1" si="43"/>
        <v>19</v>
      </c>
      <c r="J552" s="52"/>
      <c r="K552" s="53">
        <v>49530</v>
      </c>
      <c r="L552" s="54">
        <v>4</v>
      </c>
    </row>
    <row r="553" spans="1:12" ht="15" x14ac:dyDescent="0.25">
      <c r="A553" s="39" t="s">
        <v>305</v>
      </c>
      <c r="B553" s="46" t="s">
        <v>271</v>
      </c>
      <c r="C553" s="39" t="s">
        <v>767</v>
      </c>
      <c r="D553" s="72">
        <v>313358310</v>
      </c>
      <c r="E553" s="73">
        <v>9195442791</v>
      </c>
      <c r="F553" s="39" t="s">
        <v>256</v>
      </c>
      <c r="G553" s="81">
        <v>34222</v>
      </c>
      <c r="H553" s="105" t="str">
        <f t="shared" si="42"/>
        <v>September</v>
      </c>
      <c r="I553" s="51">
        <f t="shared" ca="1" si="43"/>
        <v>23</v>
      </c>
      <c r="J553" s="52" t="s">
        <v>257</v>
      </c>
      <c r="K553" s="53">
        <v>62688</v>
      </c>
      <c r="L553" s="54">
        <v>2</v>
      </c>
    </row>
    <row r="554" spans="1:12" ht="15" x14ac:dyDescent="0.25">
      <c r="A554" s="39" t="s">
        <v>369</v>
      </c>
      <c r="B554" s="46" t="s">
        <v>271</v>
      </c>
      <c r="C554" s="39" t="s">
        <v>767</v>
      </c>
      <c r="D554" s="72">
        <v>113252240</v>
      </c>
      <c r="E554" s="73">
        <v>2526712695</v>
      </c>
      <c r="F554" s="39" t="s">
        <v>256</v>
      </c>
      <c r="G554" s="81">
        <v>36536</v>
      </c>
      <c r="H554" s="105" t="str">
        <f t="shared" si="42"/>
        <v>January</v>
      </c>
      <c r="I554" s="51">
        <f t="shared" ca="1" si="43"/>
        <v>16</v>
      </c>
      <c r="J554" s="52" t="s">
        <v>257</v>
      </c>
      <c r="K554" s="53">
        <v>62400</v>
      </c>
      <c r="L554" s="54">
        <v>4</v>
      </c>
    </row>
    <row r="555" spans="1:12" ht="15" x14ac:dyDescent="0.25">
      <c r="A555" s="39" t="s">
        <v>786</v>
      </c>
      <c r="B555" s="46" t="s">
        <v>285</v>
      </c>
      <c r="C555" s="39" t="s">
        <v>767</v>
      </c>
      <c r="D555" s="72">
        <v>160662505</v>
      </c>
      <c r="E555" s="73">
        <v>2526427045</v>
      </c>
      <c r="F555" s="39" t="s">
        <v>247</v>
      </c>
      <c r="G555" s="81">
        <v>37526</v>
      </c>
      <c r="H555" s="105" t="str">
        <f t="shared" si="42"/>
        <v>September</v>
      </c>
      <c r="I555" s="51">
        <f t="shared" ca="1" si="43"/>
        <v>14</v>
      </c>
      <c r="J555" s="52"/>
      <c r="K555" s="53">
        <v>61580</v>
      </c>
      <c r="L555" s="54">
        <v>3</v>
      </c>
    </row>
    <row r="556" spans="1:12" ht="15" x14ac:dyDescent="0.25">
      <c r="A556" s="39" t="s">
        <v>744</v>
      </c>
      <c r="B556" s="46" t="s">
        <v>285</v>
      </c>
      <c r="C556" s="39" t="s">
        <v>767</v>
      </c>
      <c r="D556" s="72">
        <v>965916299</v>
      </c>
      <c r="E556" s="73">
        <v>9193552027</v>
      </c>
      <c r="F556" s="39" t="s">
        <v>256</v>
      </c>
      <c r="G556" s="81">
        <v>35693</v>
      </c>
      <c r="H556" s="105" t="str">
        <f t="shared" si="42"/>
        <v>September</v>
      </c>
      <c r="I556" s="51">
        <f t="shared" ca="1" si="43"/>
        <v>19</v>
      </c>
      <c r="J556" s="52" t="s">
        <v>262</v>
      </c>
      <c r="K556" s="53">
        <v>24340</v>
      </c>
      <c r="L556" s="54">
        <v>4</v>
      </c>
    </row>
    <row r="557" spans="1:12" ht="15" x14ac:dyDescent="0.25">
      <c r="A557" s="39" t="s">
        <v>763</v>
      </c>
      <c r="B557" s="46" t="s">
        <v>285</v>
      </c>
      <c r="C557" s="39" t="s">
        <v>767</v>
      </c>
      <c r="D557" s="72">
        <v>475671127</v>
      </c>
      <c r="E557" s="73">
        <v>9196650531</v>
      </c>
      <c r="F557" s="39" t="s">
        <v>256</v>
      </c>
      <c r="G557" s="81">
        <v>35958</v>
      </c>
      <c r="H557" s="105" t="str">
        <f t="shared" si="42"/>
        <v>June</v>
      </c>
      <c r="I557" s="51">
        <f t="shared" ca="1" si="43"/>
        <v>18</v>
      </c>
      <c r="J557" s="52" t="s">
        <v>283</v>
      </c>
      <c r="K557" s="53">
        <v>61420</v>
      </c>
      <c r="L557" s="54">
        <v>4</v>
      </c>
    </row>
    <row r="558" spans="1:12" ht="15" x14ac:dyDescent="0.25">
      <c r="A558" s="39" t="s">
        <v>696</v>
      </c>
      <c r="B558" s="46" t="s">
        <v>266</v>
      </c>
      <c r="C558" s="39" t="s">
        <v>767</v>
      </c>
      <c r="D558" s="72">
        <v>546159785</v>
      </c>
      <c r="E558" s="73">
        <v>2522924678</v>
      </c>
      <c r="F558" s="39" t="s">
        <v>256</v>
      </c>
      <c r="G558" s="81">
        <v>38423</v>
      </c>
      <c r="H558" s="105" t="str">
        <f t="shared" si="42"/>
        <v>March</v>
      </c>
      <c r="I558" s="51">
        <f t="shared" ca="1" si="43"/>
        <v>11</v>
      </c>
      <c r="J558" s="52" t="s">
        <v>276</v>
      </c>
      <c r="K558" s="53">
        <v>61330</v>
      </c>
      <c r="L558" s="54">
        <v>2</v>
      </c>
    </row>
    <row r="559" spans="1:12" ht="15" x14ac:dyDescent="0.25">
      <c r="A559" s="39" t="s">
        <v>880</v>
      </c>
      <c r="B559" s="46" t="s">
        <v>245</v>
      </c>
      <c r="C559" s="39" t="s">
        <v>767</v>
      </c>
      <c r="D559" s="72">
        <v>828715080</v>
      </c>
      <c r="E559" s="73">
        <v>2523613559</v>
      </c>
      <c r="F559" s="39" t="s">
        <v>256</v>
      </c>
      <c r="G559" s="81">
        <v>35094</v>
      </c>
      <c r="H559" s="105" t="str">
        <f t="shared" si="42"/>
        <v>January</v>
      </c>
      <c r="I559" s="51">
        <f t="shared" ca="1" si="43"/>
        <v>20</v>
      </c>
      <c r="J559" s="52" t="s">
        <v>262</v>
      </c>
      <c r="K559" s="53">
        <v>61148</v>
      </c>
      <c r="L559" s="54">
        <v>2</v>
      </c>
    </row>
    <row r="560" spans="1:12" ht="15" x14ac:dyDescent="0.25">
      <c r="A560" s="39" t="s">
        <v>795</v>
      </c>
      <c r="B560" s="46" t="s">
        <v>245</v>
      </c>
      <c r="C560" s="39" t="s">
        <v>767</v>
      </c>
      <c r="D560" s="72">
        <v>808012612</v>
      </c>
      <c r="E560" s="73">
        <v>9193717553</v>
      </c>
      <c r="F560" s="39" t="s">
        <v>247</v>
      </c>
      <c r="G560" s="81">
        <v>33658</v>
      </c>
      <c r="H560" s="105" t="str">
        <f t="shared" ref="H560:H583" si="44">CHOOSE(MONTH(G560),"January","February","March","April","May","June","July","August","September","October","November","December")</f>
        <v>February</v>
      </c>
      <c r="I560" s="51">
        <f t="shared" ref="I560:I583" ca="1" si="45">DATEDIF(G560,TODAY(),"Y")</f>
        <v>24</v>
      </c>
      <c r="J560" s="52"/>
      <c r="K560" s="53">
        <v>60550</v>
      </c>
      <c r="L560" s="54">
        <v>2</v>
      </c>
    </row>
    <row r="561" spans="1:12" ht="15" x14ac:dyDescent="0.25">
      <c r="A561" s="39" t="s">
        <v>841</v>
      </c>
      <c r="B561" s="46" t="s">
        <v>251</v>
      </c>
      <c r="C561" s="39" t="s">
        <v>767</v>
      </c>
      <c r="D561" s="72">
        <v>618775364</v>
      </c>
      <c r="E561" s="73">
        <v>9193182167</v>
      </c>
      <c r="F561" s="39" t="s">
        <v>261</v>
      </c>
      <c r="G561" s="103">
        <v>40254</v>
      </c>
      <c r="H561" s="105" t="str">
        <f t="shared" si="44"/>
        <v>March</v>
      </c>
      <c r="I561" s="51">
        <f t="shared" ca="1" si="45"/>
        <v>6</v>
      </c>
      <c r="J561" s="52" t="s">
        <v>283</v>
      </c>
      <c r="K561" s="53">
        <v>48700</v>
      </c>
      <c r="L561" s="54">
        <v>3</v>
      </c>
    </row>
    <row r="562" spans="1:12" ht="15" x14ac:dyDescent="0.25">
      <c r="A562" s="39" t="s">
        <v>713</v>
      </c>
      <c r="B562" s="46" t="s">
        <v>285</v>
      </c>
      <c r="C562" s="39" t="s">
        <v>767</v>
      </c>
      <c r="D562" s="72">
        <v>556327593</v>
      </c>
      <c r="E562" s="73">
        <v>2523324762</v>
      </c>
      <c r="F562" s="39" t="s">
        <v>247</v>
      </c>
      <c r="G562" s="81">
        <v>35301</v>
      </c>
      <c r="H562" s="105" t="str">
        <f t="shared" si="44"/>
        <v>August</v>
      </c>
      <c r="I562" s="51">
        <f t="shared" ca="1" si="45"/>
        <v>20</v>
      </c>
      <c r="J562" s="52"/>
      <c r="K562" s="53">
        <v>60070</v>
      </c>
      <c r="L562" s="54">
        <v>2</v>
      </c>
    </row>
    <row r="563" spans="1:12" ht="15" x14ac:dyDescent="0.25">
      <c r="A563" s="39" t="s">
        <v>793</v>
      </c>
      <c r="B563" s="46" t="s">
        <v>271</v>
      </c>
      <c r="C563" s="39" t="s">
        <v>767</v>
      </c>
      <c r="D563" s="72">
        <v>339488599</v>
      </c>
      <c r="E563" s="73">
        <v>9191267946</v>
      </c>
      <c r="F563" s="39" t="s">
        <v>247</v>
      </c>
      <c r="G563" s="81">
        <v>37404</v>
      </c>
      <c r="H563" s="105" t="str">
        <f t="shared" si="44"/>
        <v>May</v>
      </c>
      <c r="I563" s="51">
        <f t="shared" ca="1" si="45"/>
        <v>14</v>
      </c>
      <c r="J563" s="52"/>
      <c r="K563" s="53">
        <v>60070</v>
      </c>
      <c r="L563" s="54">
        <v>3</v>
      </c>
    </row>
    <row r="564" spans="1:12" ht="15" x14ac:dyDescent="0.25">
      <c r="A564" s="39" t="s">
        <v>582</v>
      </c>
      <c r="B564" s="46" t="s">
        <v>285</v>
      </c>
      <c r="C564" s="39" t="s">
        <v>767</v>
      </c>
      <c r="D564" s="72">
        <v>699386024</v>
      </c>
      <c r="E564" s="73">
        <v>2525842116</v>
      </c>
      <c r="F564" s="39" t="s">
        <v>252</v>
      </c>
      <c r="G564" s="81">
        <v>36028</v>
      </c>
      <c r="H564" s="105" t="str">
        <f t="shared" si="44"/>
        <v>August</v>
      </c>
      <c r="I564" s="51">
        <f t="shared" ca="1" si="45"/>
        <v>18</v>
      </c>
      <c r="J564" s="52"/>
      <c r="K564" s="53">
        <v>16688</v>
      </c>
      <c r="L564" s="54">
        <v>3</v>
      </c>
    </row>
    <row r="565" spans="1:12" ht="15" x14ac:dyDescent="0.25">
      <c r="A565" s="39" t="s">
        <v>374</v>
      </c>
      <c r="B565" s="46" t="s">
        <v>271</v>
      </c>
      <c r="C565" s="39" t="s">
        <v>767</v>
      </c>
      <c r="D565" s="72">
        <v>214291610</v>
      </c>
      <c r="E565" s="73">
        <v>2523858464</v>
      </c>
      <c r="F565" s="39" t="s">
        <v>256</v>
      </c>
      <c r="G565" s="81">
        <v>35219</v>
      </c>
      <c r="H565" s="105" t="str">
        <f t="shared" si="44"/>
        <v>June</v>
      </c>
      <c r="I565" s="51">
        <f t="shared" ca="1" si="45"/>
        <v>20</v>
      </c>
      <c r="J565" s="52" t="s">
        <v>257</v>
      </c>
      <c r="K565" s="53">
        <v>47340</v>
      </c>
      <c r="L565" s="54">
        <v>2</v>
      </c>
    </row>
    <row r="566" spans="1:12" ht="15" x14ac:dyDescent="0.25">
      <c r="A566" s="39" t="s">
        <v>898</v>
      </c>
      <c r="B566" s="46" t="s">
        <v>271</v>
      </c>
      <c r="C566" s="39" t="s">
        <v>767</v>
      </c>
      <c r="D566" s="72">
        <v>456809622</v>
      </c>
      <c r="E566" s="73">
        <v>2523046338</v>
      </c>
      <c r="F566" s="39" t="s">
        <v>256</v>
      </c>
      <c r="G566" s="81">
        <v>33098</v>
      </c>
      <c r="H566" s="105" t="str">
        <f t="shared" si="44"/>
        <v>August</v>
      </c>
      <c r="I566" s="51">
        <f t="shared" ca="1" si="45"/>
        <v>26</v>
      </c>
      <c r="J566" s="52" t="s">
        <v>257</v>
      </c>
      <c r="K566" s="53">
        <v>48080</v>
      </c>
      <c r="L566" s="54">
        <v>2</v>
      </c>
    </row>
    <row r="567" spans="1:12" ht="15" x14ac:dyDescent="0.25">
      <c r="A567" s="45" t="s">
        <v>250</v>
      </c>
      <c r="B567" s="46" t="s">
        <v>285</v>
      </c>
      <c r="C567" s="39" t="s">
        <v>767</v>
      </c>
      <c r="D567" s="72">
        <v>394876677</v>
      </c>
      <c r="E567" s="73">
        <v>2522551469</v>
      </c>
      <c r="F567" s="39" t="s">
        <v>256</v>
      </c>
      <c r="G567" s="81">
        <v>35616</v>
      </c>
      <c r="H567" s="105" t="str">
        <f t="shared" si="44"/>
        <v>July</v>
      </c>
      <c r="I567" s="51">
        <f t="shared" ca="1" si="45"/>
        <v>19</v>
      </c>
      <c r="J567" s="52" t="s">
        <v>283</v>
      </c>
      <c r="K567" s="53">
        <v>34060</v>
      </c>
      <c r="L567" s="54">
        <v>2</v>
      </c>
    </row>
    <row r="568" spans="1:12" ht="15" x14ac:dyDescent="0.25">
      <c r="A568" s="39" t="s">
        <v>955</v>
      </c>
      <c r="B568" s="46" t="s">
        <v>285</v>
      </c>
      <c r="C568" s="39" t="s">
        <v>767</v>
      </c>
      <c r="D568" s="72">
        <v>953109212</v>
      </c>
      <c r="E568" s="73">
        <v>9191664940</v>
      </c>
      <c r="F568" s="39" t="s">
        <v>256</v>
      </c>
      <c r="G568" s="81">
        <v>40438</v>
      </c>
      <c r="H568" s="105" t="str">
        <f t="shared" si="44"/>
        <v>September</v>
      </c>
      <c r="I568" s="51">
        <f t="shared" ca="1" si="45"/>
        <v>6</v>
      </c>
      <c r="J568" s="52" t="s">
        <v>267</v>
      </c>
      <c r="K568" s="53">
        <v>59150</v>
      </c>
      <c r="L568" s="54">
        <v>4</v>
      </c>
    </row>
    <row r="569" spans="1:12" ht="15" x14ac:dyDescent="0.25">
      <c r="A569" s="39" t="s">
        <v>500</v>
      </c>
      <c r="B569" s="46" t="s">
        <v>271</v>
      </c>
      <c r="C569" s="39" t="s">
        <v>767</v>
      </c>
      <c r="D569" s="72">
        <v>554029540</v>
      </c>
      <c r="E569" s="73">
        <v>2521544288</v>
      </c>
      <c r="F569" s="39" t="s">
        <v>247</v>
      </c>
      <c r="G569" s="81">
        <v>33234</v>
      </c>
      <c r="H569" s="105" t="str">
        <f t="shared" si="44"/>
        <v>December</v>
      </c>
      <c r="I569" s="51">
        <f t="shared" ca="1" si="45"/>
        <v>25</v>
      </c>
      <c r="J569" s="52"/>
      <c r="K569" s="53">
        <v>58650</v>
      </c>
      <c r="L569" s="54">
        <v>4</v>
      </c>
    </row>
    <row r="570" spans="1:12" ht="15" x14ac:dyDescent="0.25">
      <c r="A570" s="39" t="s">
        <v>942</v>
      </c>
      <c r="B570" s="46" t="s">
        <v>280</v>
      </c>
      <c r="C570" s="39" t="s">
        <v>767</v>
      </c>
      <c r="D570" s="72">
        <v>451159170</v>
      </c>
      <c r="E570" s="73">
        <v>2522604602</v>
      </c>
      <c r="F570" s="39" t="s">
        <v>261</v>
      </c>
      <c r="G570" s="81">
        <v>35826</v>
      </c>
      <c r="H570" s="105" t="str">
        <f t="shared" si="44"/>
        <v>January</v>
      </c>
      <c r="I570" s="51">
        <f t="shared" ca="1" si="45"/>
        <v>18</v>
      </c>
      <c r="J570" s="52" t="s">
        <v>257</v>
      </c>
      <c r="K570" s="53">
        <v>31205</v>
      </c>
      <c r="L570" s="54">
        <v>2</v>
      </c>
    </row>
    <row r="571" spans="1:12" ht="15" x14ac:dyDescent="0.25">
      <c r="A571" s="39" t="s">
        <v>980</v>
      </c>
      <c r="B571" s="46" t="s">
        <v>271</v>
      </c>
      <c r="C571" s="39" t="s">
        <v>767</v>
      </c>
      <c r="D571" s="72">
        <v>548283920</v>
      </c>
      <c r="E571" s="73">
        <v>2524160215</v>
      </c>
      <c r="F571" s="39" t="s">
        <v>247</v>
      </c>
      <c r="G571" s="81">
        <v>36297</v>
      </c>
      <c r="H571" s="105" t="str">
        <f t="shared" si="44"/>
        <v>May</v>
      </c>
      <c r="I571" s="51">
        <f t="shared" ca="1" si="45"/>
        <v>17</v>
      </c>
      <c r="J571" s="52"/>
      <c r="K571" s="53">
        <v>57990</v>
      </c>
      <c r="L571" s="54">
        <v>5</v>
      </c>
    </row>
    <row r="572" spans="1:12" ht="15" x14ac:dyDescent="0.25">
      <c r="A572" s="39" t="s">
        <v>944</v>
      </c>
      <c r="B572" s="46" t="s">
        <v>245</v>
      </c>
      <c r="C572" s="39" t="s">
        <v>767</v>
      </c>
      <c r="D572" s="72">
        <v>502200672</v>
      </c>
      <c r="E572" s="73">
        <v>2527925201</v>
      </c>
      <c r="F572" s="39" t="s">
        <v>247</v>
      </c>
      <c r="G572" s="103">
        <v>40410</v>
      </c>
      <c r="H572" s="105" t="str">
        <f t="shared" si="44"/>
        <v>August</v>
      </c>
      <c r="I572" s="51">
        <f t="shared" ca="1" si="45"/>
        <v>6</v>
      </c>
      <c r="J572" s="52"/>
      <c r="K572" s="53">
        <v>57680</v>
      </c>
      <c r="L572" s="54">
        <v>4</v>
      </c>
    </row>
    <row r="573" spans="1:12" ht="15" x14ac:dyDescent="0.25">
      <c r="A573" s="39" t="s">
        <v>868</v>
      </c>
      <c r="B573" s="46" t="s">
        <v>285</v>
      </c>
      <c r="C573" s="39" t="s">
        <v>767</v>
      </c>
      <c r="D573" s="72">
        <v>349174221</v>
      </c>
      <c r="E573" s="73">
        <v>2521220758</v>
      </c>
      <c r="F573" s="39" t="s">
        <v>261</v>
      </c>
      <c r="G573" s="81">
        <v>36084</v>
      </c>
      <c r="H573" s="105" t="str">
        <f t="shared" si="44"/>
        <v>October</v>
      </c>
      <c r="I573" s="51">
        <f t="shared" ca="1" si="45"/>
        <v>18</v>
      </c>
      <c r="J573" s="52" t="s">
        <v>262</v>
      </c>
      <c r="K573" s="53">
        <v>45750</v>
      </c>
      <c r="L573" s="54">
        <v>5</v>
      </c>
    </row>
    <row r="574" spans="1:12" ht="15" x14ac:dyDescent="0.25">
      <c r="A574" s="39" t="s">
        <v>699</v>
      </c>
      <c r="B574" s="46" t="s">
        <v>271</v>
      </c>
      <c r="C574" s="39" t="s">
        <v>767</v>
      </c>
      <c r="D574" s="72">
        <v>358017400</v>
      </c>
      <c r="E574" s="73">
        <v>2523265407</v>
      </c>
      <c r="F574" s="39" t="s">
        <v>252</v>
      </c>
      <c r="G574" s="81">
        <v>36380</v>
      </c>
      <c r="H574" s="105" t="str">
        <f t="shared" si="44"/>
        <v>August</v>
      </c>
      <c r="I574" s="51">
        <f t="shared" ca="1" si="45"/>
        <v>17</v>
      </c>
      <c r="J574" s="52"/>
      <c r="K574" s="53">
        <v>36052</v>
      </c>
      <c r="L574" s="54">
        <v>5</v>
      </c>
    </row>
    <row r="575" spans="1:12" ht="15" x14ac:dyDescent="0.25">
      <c r="A575" s="39" t="s">
        <v>905</v>
      </c>
      <c r="B575" s="46" t="s">
        <v>271</v>
      </c>
      <c r="C575" s="39" t="s">
        <v>767</v>
      </c>
      <c r="D575" s="72">
        <v>336025451</v>
      </c>
      <c r="E575" s="73">
        <v>2522344526</v>
      </c>
      <c r="F575" s="39" t="s">
        <v>247</v>
      </c>
      <c r="G575" s="81">
        <v>34478</v>
      </c>
      <c r="H575" s="105" t="str">
        <f t="shared" si="44"/>
        <v>May</v>
      </c>
      <c r="I575" s="51">
        <f t="shared" ca="1" si="45"/>
        <v>22</v>
      </c>
      <c r="J575" s="52"/>
      <c r="K575" s="53">
        <v>56650</v>
      </c>
      <c r="L575" s="54">
        <v>1</v>
      </c>
    </row>
    <row r="576" spans="1:12" ht="15" x14ac:dyDescent="0.25">
      <c r="A576" s="39" t="s">
        <v>310</v>
      </c>
      <c r="B576" s="46" t="s">
        <v>266</v>
      </c>
      <c r="C576" s="39" t="s">
        <v>767</v>
      </c>
      <c r="D576" s="72">
        <v>437460422</v>
      </c>
      <c r="E576" s="73">
        <v>2528439277</v>
      </c>
      <c r="F576" s="39" t="s">
        <v>261</v>
      </c>
      <c r="G576" s="81">
        <v>38723</v>
      </c>
      <c r="H576" s="105" t="str">
        <f t="shared" si="44"/>
        <v>January</v>
      </c>
      <c r="I576" s="51">
        <f t="shared" ca="1" si="45"/>
        <v>10</v>
      </c>
      <c r="J576" s="52" t="s">
        <v>283</v>
      </c>
      <c r="K576" s="53">
        <v>10630</v>
      </c>
      <c r="L576" s="54">
        <v>3</v>
      </c>
    </row>
    <row r="577" spans="1:12" ht="15" x14ac:dyDescent="0.25">
      <c r="A577" s="39" t="s">
        <v>689</v>
      </c>
      <c r="B577" s="46" t="s">
        <v>271</v>
      </c>
      <c r="C577" s="39" t="s">
        <v>767</v>
      </c>
      <c r="D577" s="72">
        <v>330879921</v>
      </c>
      <c r="E577" s="73">
        <v>9195691314</v>
      </c>
      <c r="F577" s="39" t="s">
        <v>256</v>
      </c>
      <c r="G577" s="81">
        <v>36088</v>
      </c>
      <c r="H577" s="105" t="str">
        <f t="shared" si="44"/>
        <v>October</v>
      </c>
      <c r="I577" s="51">
        <f t="shared" ca="1" si="45"/>
        <v>18</v>
      </c>
      <c r="J577" s="52" t="s">
        <v>267</v>
      </c>
      <c r="K577" s="53">
        <v>54580</v>
      </c>
      <c r="L577" s="54">
        <v>4</v>
      </c>
    </row>
    <row r="578" spans="1:12" ht="15" x14ac:dyDescent="0.25">
      <c r="A578" s="39" t="s">
        <v>323</v>
      </c>
      <c r="B578" s="46" t="s">
        <v>271</v>
      </c>
      <c r="C578" s="39" t="s">
        <v>767</v>
      </c>
      <c r="D578" s="72">
        <v>561530671</v>
      </c>
      <c r="E578" s="73">
        <v>9192999652</v>
      </c>
      <c r="F578" s="39" t="s">
        <v>256</v>
      </c>
      <c r="G578" s="81">
        <v>33510</v>
      </c>
      <c r="H578" s="105" t="str">
        <f t="shared" si="44"/>
        <v>September</v>
      </c>
      <c r="I578" s="51">
        <f t="shared" ca="1" si="45"/>
        <v>25</v>
      </c>
      <c r="J578" s="52" t="s">
        <v>262</v>
      </c>
      <c r="K578" s="53">
        <v>54500</v>
      </c>
      <c r="L578" s="54">
        <v>5</v>
      </c>
    </row>
    <row r="579" spans="1:12" ht="15" x14ac:dyDescent="0.25">
      <c r="A579" s="39" t="s">
        <v>342</v>
      </c>
      <c r="B579" s="46" t="s">
        <v>271</v>
      </c>
      <c r="C579" s="39" t="s">
        <v>767</v>
      </c>
      <c r="D579" s="72">
        <v>494754997</v>
      </c>
      <c r="E579" s="73">
        <v>9195617115</v>
      </c>
      <c r="F579" s="39" t="s">
        <v>247</v>
      </c>
      <c r="G579" s="81">
        <v>34726</v>
      </c>
      <c r="H579" s="105" t="str">
        <f t="shared" si="44"/>
        <v>January</v>
      </c>
      <c r="I579" s="51">
        <f t="shared" ca="1" si="45"/>
        <v>21</v>
      </c>
      <c r="J579" s="52"/>
      <c r="K579" s="53">
        <v>33120</v>
      </c>
      <c r="L579" s="54">
        <v>2</v>
      </c>
    </row>
    <row r="580" spans="1:12" ht="15" x14ac:dyDescent="0.25">
      <c r="A580" s="39" t="s">
        <v>531</v>
      </c>
      <c r="B580" s="46" t="s">
        <v>271</v>
      </c>
      <c r="C580" s="39" t="s">
        <v>767</v>
      </c>
      <c r="D580" s="72">
        <v>959750235</v>
      </c>
      <c r="E580" s="73">
        <v>2528488350</v>
      </c>
      <c r="F580" s="39" t="s">
        <v>256</v>
      </c>
      <c r="G580" s="81">
        <v>40137</v>
      </c>
      <c r="H580" s="105" t="str">
        <f t="shared" si="44"/>
        <v>November</v>
      </c>
      <c r="I580" s="51">
        <f t="shared" ca="1" si="45"/>
        <v>6</v>
      </c>
      <c r="J580" s="52" t="s">
        <v>257</v>
      </c>
      <c r="K580" s="53">
        <v>54190</v>
      </c>
      <c r="L580" s="54">
        <v>4</v>
      </c>
    </row>
    <row r="581" spans="1:12" ht="15" x14ac:dyDescent="0.25">
      <c r="A581" s="39" t="s">
        <v>575</v>
      </c>
      <c r="B581" s="46" t="s">
        <v>271</v>
      </c>
      <c r="C581" s="39" t="s">
        <v>767</v>
      </c>
      <c r="D581" s="72">
        <v>387131597</v>
      </c>
      <c r="E581" s="73">
        <v>9191963194</v>
      </c>
      <c r="F581" s="39" t="s">
        <v>247</v>
      </c>
      <c r="G581" s="81">
        <v>33515</v>
      </c>
      <c r="H581" s="105" t="str">
        <f t="shared" si="44"/>
        <v>October</v>
      </c>
      <c r="I581" s="51">
        <f t="shared" ca="1" si="45"/>
        <v>25</v>
      </c>
      <c r="J581" s="52"/>
      <c r="K581" s="53">
        <v>52750</v>
      </c>
      <c r="L581" s="54">
        <v>1</v>
      </c>
    </row>
    <row r="582" spans="1:12" ht="15" x14ac:dyDescent="0.25">
      <c r="A582" s="39" t="s">
        <v>455</v>
      </c>
      <c r="B582" s="46" t="s">
        <v>245</v>
      </c>
      <c r="C582" s="39" t="s">
        <v>767</v>
      </c>
      <c r="D582" s="72">
        <v>151277827</v>
      </c>
      <c r="E582" s="73">
        <v>9197179128</v>
      </c>
      <c r="F582" s="39" t="s">
        <v>256</v>
      </c>
      <c r="G582" s="81">
        <v>39899</v>
      </c>
      <c r="H582" s="105" t="str">
        <f t="shared" si="44"/>
        <v>March</v>
      </c>
      <c r="I582" s="51">
        <f t="shared" ca="1" si="45"/>
        <v>7</v>
      </c>
      <c r="J582" s="52" t="s">
        <v>257</v>
      </c>
      <c r="K582" s="53">
        <v>24790</v>
      </c>
      <c r="L582" s="54">
        <v>3</v>
      </c>
    </row>
    <row r="583" spans="1:12" ht="15" x14ac:dyDescent="0.25">
      <c r="A583" s="39" t="s">
        <v>367</v>
      </c>
      <c r="B583" s="46" t="s">
        <v>245</v>
      </c>
      <c r="C583" s="39" t="s">
        <v>767</v>
      </c>
      <c r="D583" s="72">
        <v>991221095</v>
      </c>
      <c r="E583" s="73">
        <v>9194630903</v>
      </c>
      <c r="F583" s="39" t="s">
        <v>256</v>
      </c>
      <c r="G583" s="81">
        <v>35151</v>
      </c>
      <c r="H583" s="105" t="str">
        <f t="shared" si="44"/>
        <v>March</v>
      </c>
      <c r="I583" s="51">
        <f t="shared" ca="1" si="45"/>
        <v>20</v>
      </c>
      <c r="J583" s="52" t="s">
        <v>276</v>
      </c>
      <c r="K583" s="53">
        <v>29760</v>
      </c>
      <c r="L583" s="54">
        <v>2</v>
      </c>
    </row>
    <row r="584" spans="1:12" ht="15" x14ac:dyDescent="0.25">
      <c r="A584" s="39"/>
      <c r="B584" s="46"/>
      <c r="C584" s="111"/>
      <c r="D584" s="72"/>
      <c r="E584" s="73"/>
      <c r="F584" s="39"/>
      <c r="G584" s="81"/>
      <c r="H584" s="105"/>
      <c r="I584" s="51"/>
      <c r="J584" s="52"/>
      <c r="K584" s="53"/>
      <c r="L584" s="54"/>
    </row>
    <row r="585" spans="1:12" ht="15" x14ac:dyDescent="0.25">
      <c r="A585" s="39" t="s">
        <v>851</v>
      </c>
      <c r="B585" s="46" t="s">
        <v>251</v>
      </c>
      <c r="C585" s="39" t="s">
        <v>856</v>
      </c>
      <c r="D585" s="72">
        <v>265993407</v>
      </c>
      <c r="E585" s="73">
        <v>9193558443</v>
      </c>
      <c r="F585" s="39" t="s">
        <v>247</v>
      </c>
      <c r="G585" s="81">
        <v>33282</v>
      </c>
      <c r="H585" s="105" t="str">
        <f t="shared" ref="H585:H616" si="46">CHOOSE(MONTH(G585),"January","February","March","April","May","June","July","August","September","October","November","December")</f>
        <v>February</v>
      </c>
      <c r="I585" s="51">
        <f t="shared" ref="I585:I616" ca="1" si="47">DATEDIF(G585,TODAY(),"Y")</f>
        <v>25</v>
      </c>
      <c r="J585" s="52"/>
      <c r="K585" s="53">
        <v>89450</v>
      </c>
      <c r="L585" s="54">
        <v>2</v>
      </c>
    </row>
    <row r="586" spans="1:12" ht="15" x14ac:dyDescent="0.25">
      <c r="A586" s="39" t="s">
        <v>935</v>
      </c>
      <c r="B586" s="46" t="s">
        <v>271</v>
      </c>
      <c r="C586" s="39" t="s">
        <v>856</v>
      </c>
      <c r="D586" s="72">
        <v>709234421</v>
      </c>
      <c r="E586" s="73">
        <v>2523838954</v>
      </c>
      <c r="F586" s="39" t="s">
        <v>256</v>
      </c>
      <c r="G586" s="81">
        <v>34754</v>
      </c>
      <c r="H586" s="105" t="str">
        <f t="shared" si="46"/>
        <v>February</v>
      </c>
      <c r="I586" s="51">
        <f t="shared" ca="1" si="47"/>
        <v>21</v>
      </c>
      <c r="J586" s="52" t="s">
        <v>257</v>
      </c>
      <c r="K586" s="53">
        <v>39000</v>
      </c>
      <c r="L586" s="54">
        <v>5</v>
      </c>
    </row>
    <row r="587" spans="1:12" ht="15" x14ac:dyDescent="0.25">
      <c r="A587" s="39" t="s">
        <v>477</v>
      </c>
      <c r="B587" s="46" t="s">
        <v>271</v>
      </c>
      <c r="C587" s="39" t="s">
        <v>856</v>
      </c>
      <c r="D587" s="72">
        <v>718930584</v>
      </c>
      <c r="E587" s="73">
        <v>9195804771</v>
      </c>
      <c r="F587" s="39" t="s">
        <v>261</v>
      </c>
      <c r="G587" s="81">
        <v>36196</v>
      </c>
      <c r="H587" s="105" t="str">
        <f t="shared" si="46"/>
        <v>February</v>
      </c>
      <c r="I587" s="51">
        <f t="shared" ca="1" si="47"/>
        <v>17</v>
      </c>
      <c r="J587" s="52" t="s">
        <v>257</v>
      </c>
      <c r="K587" s="53">
        <v>34980</v>
      </c>
      <c r="L587" s="54">
        <v>2</v>
      </c>
    </row>
    <row r="588" spans="1:12" ht="15" x14ac:dyDescent="0.25">
      <c r="A588" s="39" t="s">
        <v>379</v>
      </c>
      <c r="B588" s="46" t="s">
        <v>285</v>
      </c>
      <c r="C588" s="39" t="s">
        <v>856</v>
      </c>
      <c r="D588" s="72">
        <v>984881714</v>
      </c>
      <c r="E588" s="73">
        <v>9196973131</v>
      </c>
      <c r="F588" s="39" t="s">
        <v>256</v>
      </c>
      <c r="G588" s="81">
        <v>35408</v>
      </c>
      <c r="H588" s="105" t="str">
        <f t="shared" si="46"/>
        <v>December</v>
      </c>
      <c r="I588" s="51">
        <f t="shared" ca="1" si="47"/>
        <v>19</v>
      </c>
      <c r="J588" s="52" t="s">
        <v>283</v>
      </c>
      <c r="K588" s="53">
        <v>34330</v>
      </c>
      <c r="L588" s="54">
        <v>3</v>
      </c>
    </row>
    <row r="589" spans="1:12" ht="15" x14ac:dyDescent="0.25">
      <c r="A589" s="39" t="s">
        <v>641</v>
      </c>
      <c r="B589" s="46" t="s">
        <v>271</v>
      </c>
      <c r="C589" s="39" t="s">
        <v>856</v>
      </c>
      <c r="D589" s="72">
        <v>627977314</v>
      </c>
      <c r="E589" s="73">
        <v>2521525844</v>
      </c>
      <c r="F589" s="39" t="s">
        <v>256</v>
      </c>
      <c r="G589" s="81">
        <v>33852</v>
      </c>
      <c r="H589" s="105" t="str">
        <f t="shared" si="46"/>
        <v>September</v>
      </c>
      <c r="I589" s="51">
        <f t="shared" ca="1" si="47"/>
        <v>24</v>
      </c>
      <c r="J589" s="52" t="s">
        <v>276</v>
      </c>
      <c r="K589" s="53">
        <v>86240</v>
      </c>
      <c r="L589" s="54">
        <v>1</v>
      </c>
    </row>
    <row r="590" spans="1:12" ht="15" x14ac:dyDescent="0.25">
      <c r="A590" s="39" t="s">
        <v>334</v>
      </c>
      <c r="B590" s="46" t="s">
        <v>271</v>
      </c>
      <c r="C590" s="39" t="s">
        <v>856</v>
      </c>
      <c r="D590" s="72">
        <v>668708287</v>
      </c>
      <c r="E590" s="73">
        <v>9191952821</v>
      </c>
      <c r="F590" s="39" t="s">
        <v>247</v>
      </c>
      <c r="G590" s="81">
        <v>35806</v>
      </c>
      <c r="H590" s="105" t="str">
        <f t="shared" si="46"/>
        <v>January</v>
      </c>
      <c r="I590" s="51">
        <f t="shared" ca="1" si="47"/>
        <v>18</v>
      </c>
      <c r="J590" s="52"/>
      <c r="K590" s="53">
        <v>86100</v>
      </c>
      <c r="L590" s="54">
        <v>4</v>
      </c>
    </row>
    <row r="591" spans="1:12" ht="15" x14ac:dyDescent="0.25">
      <c r="A591" s="39" t="s">
        <v>833</v>
      </c>
      <c r="B591" s="46" t="s">
        <v>285</v>
      </c>
      <c r="C591" s="39" t="s">
        <v>856</v>
      </c>
      <c r="D591" s="72">
        <v>983047016</v>
      </c>
      <c r="E591" s="73">
        <v>9198451642</v>
      </c>
      <c r="F591" s="39" t="s">
        <v>247</v>
      </c>
      <c r="G591" s="81">
        <v>38793</v>
      </c>
      <c r="H591" s="105" t="str">
        <f t="shared" si="46"/>
        <v>March</v>
      </c>
      <c r="I591" s="51">
        <f t="shared" ca="1" si="47"/>
        <v>10</v>
      </c>
      <c r="J591" s="52"/>
      <c r="K591" s="53">
        <v>85930</v>
      </c>
      <c r="L591" s="54">
        <v>2</v>
      </c>
    </row>
    <row r="592" spans="1:12" ht="15" x14ac:dyDescent="0.25">
      <c r="A592" s="39" t="s">
        <v>597</v>
      </c>
      <c r="B592" s="46" t="s">
        <v>245</v>
      </c>
      <c r="C592" s="39" t="s">
        <v>856</v>
      </c>
      <c r="D592" s="72">
        <v>518009092</v>
      </c>
      <c r="E592" s="73">
        <v>2528792521</v>
      </c>
      <c r="F592" s="39" t="s">
        <v>252</v>
      </c>
      <c r="G592" s="81">
        <v>35869</v>
      </c>
      <c r="H592" s="105" t="str">
        <f t="shared" si="46"/>
        <v>March</v>
      </c>
      <c r="I592" s="51">
        <f t="shared" ca="1" si="47"/>
        <v>18</v>
      </c>
      <c r="J592" s="52"/>
      <c r="K592" s="53">
        <v>17912</v>
      </c>
      <c r="L592" s="54">
        <v>5</v>
      </c>
    </row>
    <row r="593" spans="1:12" ht="15" x14ac:dyDescent="0.25">
      <c r="A593" s="39" t="s">
        <v>590</v>
      </c>
      <c r="B593" s="46" t="s">
        <v>266</v>
      </c>
      <c r="C593" s="39" t="s">
        <v>856</v>
      </c>
      <c r="D593" s="72">
        <v>889210902</v>
      </c>
      <c r="E593" s="73">
        <v>2527422559</v>
      </c>
      <c r="F593" s="39" t="s">
        <v>256</v>
      </c>
      <c r="G593" s="81">
        <v>36514</v>
      </c>
      <c r="H593" s="105" t="str">
        <f t="shared" si="46"/>
        <v>December</v>
      </c>
      <c r="I593" s="51">
        <f t="shared" ca="1" si="47"/>
        <v>16</v>
      </c>
      <c r="J593" s="52" t="s">
        <v>283</v>
      </c>
      <c r="K593" s="53">
        <v>48250</v>
      </c>
      <c r="L593" s="54">
        <v>3</v>
      </c>
    </row>
    <row r="594" spans="1:12" ht="15" x14ac:dyDescent="0.25">
      <c r="A594" s="39" t="s">
        <v>1015</v>
      </c>
      <c r="B594" s="46" t="s">
        <v>280</v>
      </c>
      <c r="C594" s="39" t="s">
        <v>856</v>
      </c>
      <c r="D594" s="72">
        <v>666194498</v>
      </c>
      <c r="E594" s="73">
        <v>2526593848</v>
      </c>
      <c r="F594" s="39" t="s">
        <v>256</v>
      </c>
      <c r="G594" s="81">
        <v>38353</v>
      </c>
      <c r="H594" s="105" t="str">
        <f t="shared" si="46"/>
        <v>January</v>
      </c>
      <c r="I594" s="51">
        <f t="shared" ca="1" si="47"/>
        <v>11</v>
      </c>
      <c r="J594" s="52" t="s">
        <v>283</v>
      </c>
      <c r="K594" s="53">
        <v>83710</v>
      </c>
      <c r="L594" s="54">
        <v>3</v>
      </c>
    </row>
    <row r="595" spans="1:12" ht="15" x14ac:dyDescent="0.25">
      <c r="A595" s="39" t="s">
        <v>907</v>
      </c>
      <c r="B595" s="46" t="s">
        <v>245</v>
      </c>
      <c r="C595" s="39" t="s">
        <v>856</v>
      </c>
      <c r="D595" s="72">
        <v>649292883</v>
      </c>
      <c r="E595" s="73">
        <v>9198413896</v>
      </c>
      <c r="F595" s="39" t="s">
        <v>256</v>
      </c>
      <c r="G595" s="81">
        <v>38237</v>
      </c>
      <c r="H595" s="105" t="str">
        <f t="shared" si="46"/>
        <v>September</v>
      </c>
      <c r="I595" s="51">
        <f t="shared" ca="1" si="47"/>
        <v>12</v>
      </c>
      <c r="J595" s="52" t="s">
        <v>283</v>
      </c>
      <c r="K595" s="53">
        <v>31910</v>
      </c>
      <c r="L595" s="54">
        <v>5</v>
      </c>
    </row>
    <row r="596" spans="1:12" ht="15" x14ac:dyDescent="0.25">
      <c r="A596" s="39" t="s">
        <v>872</v>
      </c>
      <c r="B596" s="46" t="s">
        <v>285</v>
      </c>
      <c r="C596" s="39" t="s">
        <v>856</v>
      </c>
      <c r="D596" s="72">
        <v>744830329</v>
      </c>
      <c r="E596" s="73">
        <v>9196098293</v>
      </c>
      <c r="F596" s="39" t="s">
        <v>256</v>
      </c>
      <c r="G596" s="81">
        <v>34800</v>
      </c>
      <c r="H596" s="105" t="str">
        <f t="shared" si="46"/>
        <v>April</v>
      </c>
      <c r="I596" s="51">
        <f t="shared" ca="1" si="47"/>
        <v>21</v>
      </c>
      <c r="J596" s="52" t="s">
        <v>262</v>
      </c>
      <c r="K596" s="53">
        <v>82700</v>
      </c>
      <c r="L596" s="54">
        <v>3</v>
      </c>
    </row>
    <row r="597" spans="1:12" ht="15" x14ac:dyDescent="0.25">
      <c r="A597" s="39" t="s">
        <v>1007</v>
      </c>
      <c r="B597" s="46" t="s">
        <v>266</v>
      </c>
      <c r="C597" s="39" t="s">
        <v>856</v>
      </c>
      <c r="D597" s="72">
        <v>313648228</v>
      </c>
      <c r="E597" s="73">
        <v>2524998145</v>
      </c>
      <c r="F597" s="39" t="s">
        <v>256</v>
      </c>
      <c r="G597" s="81">
        <v>37625</v>
      </c>
      <c r="H597" s="105" t="str">
        <f t="shared" si="46"/>
        <v>January</v>
      </c>
      <c r="I597" s="51">
        <f t="shared" ca="1" si="47"/>
        <v>13</v>
      </c>
      <c r="J597" s="52" t="s">
        <v>283</v>
      </c>
      <c r="K597" s="53">
        <v>82490</v>
      </c>
      <c r="L597" s="54">
        <v>5</v>
      </c>
    </row>
    <row r="598" spans="1:12" ht="15" x14ac:dyDescent="0.25">
      <c r="A598" s="39" t="s">
        <v>568</v>
      </c>
      <c r="B598" s="46" t="s">
        <v>271</v>
      </c>
      <c r="C598" s="39" t="s">
        <v>856</v>
      </c>
      <c r="D598" s="72">
        <v>304024314</v>
      </c>
      <c r="E598" s="73">
        <v>9192244880</v>
      </c>
      <c r="F598" s="39" t="s">
        <v>247</v>
      </c>
      <c r="G598" s="81">
        <v>33421</v>
      </c>
      <c r="H598" s="105" t="str">
        <f t="shared" si="46"/>
        <v>July</v>
      </c>
      <c r="I598" s="51">
        <f t="shared" ca="1" si="47"/>
        <v>25</v>
      </c>
      <c r="J598" s="52"/>
      <c r="K598" s="53">
        <v>46650</v>
      </c>
      <c r="L598" s="54">
        <v>2</v>
      </c>
    </row>
    <row r="599" spans="1:12" ht="15" x14ac:dyDescent="0.25">
      <c r="A599" s="39" t="s">
        <v>639</v>
      </c>
      <c r="B599" s="46" t="s">
        <v>271</v>
      </c>
      <c r="C599" s="39" t="s">
        <v>856</v>
      </c>
      <c r="D599" s="72">
        <v>843632637</v>
      </c>
      <c r="E599" s="73">
        <v>9198545681</v>
      </c>
      <c r="F599" s="39" t="s">
        <v>252</v>
      </c>
      <c r="G599" s="81">
        <v>35861</v>
      </c>
      <c r="H599" s="105" t="str">
        <f t="shared" si="46"/>
        <v>March</v>
      </c>
      <c r="I599" s="51">
        <f t="shared" ca="1" si="47"/>
        <v>18</v>
      </c>
      <c r="J599" s="52"/>
      <c r="K599" s="53">
        <v>12836</v>
      </c>
      <c r="L599" s="54">
        <v>5</v>
      </c>
    </row>
    <row r="600" spans="1:12" ht="15" x14ac:dyDescent="0.25">
      <c r="A600" s="39" t="s">
        <v>306</v>
      </c>
      <c r="B600" s="46" t="s">
        <v>271</v>
      </c>
      <c r="C600" s="39" t="s">
        <v>856</v>
      </c>
      <c r="D600" s="72">
        <v>102159909</v>
      </c>
      <c r="E600" s="73">
        <v>2521868104</v>
      </c>
      <c r="F600" s="39" t="s">
        <v>252</v>
      </c>
      <c r="G600" s="81">
        <v>34345</v>
      </c>
      <c r="H600" s="105" t="str">
        <f t="shared" si="46"/>
        <v>January</v>
      </c>
      <c r="I600" s="51">
        <f t="shared" ca="1" si="47"/>
        <v>22</v>
      </c>
      <c r="J600" s="52"/>
      <c r="K600" s="53">
        <v>36788</v>
      </c>
      <c r="L600" s="54">
        <v>4</v>
      </c>
    </row>
    <row r="601" spans="1:12" ht="15" x14ac:dyDescent="0.25">
      <c r="A601" s="39" t="s">
        <v>390</v>
      </c>
      <c r="B601" s="46" t="s">
        <v>285</v>
      </c>
      <c r="C601" s="39" t="s">
        <v>856</v>
      </c>
      <c r="D601" s="72">
        <v>323701315</v>
      </c>
      <c r="E601" s="73">
        <v>9194479196</v>
      </c>
      <c r="F601" s="39" t="s">
        <v>256</v>
      </c>
      <c r="G601" s="81">
        <v>40581</v>
      </c>
      <c r="H601" s="105" t="str">
        <f t="shared" si="46"/>
        <v>February</v>
      </c>
      <c r="I601" s="51">
        <f t="shared" ca="1" si="47"/>
        <v>5</v>
      </c>
      <c r="J601" s="52" t="s">
        <v>267</v>
      </c>
      <c r="K601" s="53">
        <v>80260</v>
      </c>
      <c r="L601" s="54">
        <v>3</v>
      </c>
    </row>
    <row r="602" spans="1:12" ht="15" x14ac:dyDescent="0.25">
      <c r="A602" s="39" t="s">
        <v>745</v>
      </c>
      <c r="B602" s="46" t="s">
        <v>280</v>
      </c>
      <c r="C602" s="39" t="s">
        <v>856</v>
      </c>
      <c r="D602" s="72">
        <v>491830893</v>
      </c>
      <c r="E602" s="73">
        <v>2524713634</v>
      </c>
      <c r="F602" s="39" t="s">
        <v>256</v>
      </c>
      <c r="G602" s="81">
        <v>40078</v>
      </c>
      <c r="H602" s="105" t="str">
        <f t="shared" si="46"/>
        <v>September</v>
      </c>
      <c r="I602" s="51">
        <f t="shared" ca="1" si="47"/>
        <v>7</v>
      </c>
      <c r="J602" s="52" t="s">
        <v>283</v>
      </c>
      <c r="K602" s="53">
        <v>23190</v>
      </c>
      <c r="L602" s="54">
        <v>5</v>
      </c>
    </row>
    <row r="603" spans="1:12" ht="15" x14ac:dyDescent="0.25">
      <c r="A603" s="39" t="s">
        <v>803</v>
      </c>
      <c r="B603" s="46" t="s">
        <v>271</v>
      </c>
      <c r="C603" s="39" t="s">
        <v>856</v>
      </c>
      <c r="D603" s="72">
        <v>180832423</v>
      </c>
      <c r="E603" s="73">
        <v>9198097539</v>
      </c>
      <c r="F603" s="39" t="s">
        <v>256</v>
      </c>
      <c r="G603" s="81">
        <v>36078</v>
      </c>
      <c r="H603" s="105" t="str">
        <f t="shared" si="46"/>
        <v>October</v>
      </c>
      <c r="I603" s="51">
        <f t="shared" ca="1" si="47"/>
        <v>18</v>
      </c>
      <c r="J603" s="52" t="s">
        <v>276</v>
      </c>
      <c r="K603" s="53">
        <v>79610</v>
      </c>
      <c r="L603" s="54">
        <v>2</v>
      </c>
    </row>
    <row r="604" spans="1:12" ht="15" x14ac:dyDescent="0.25">
      <c r="A604" s="39" t="s">
        <v>332</v>
      </c>
      <c r="B604" s="46" t="s">
        <v>266</v>
      </c>
      <c r="C604" s="39" t="s">
        <v>856</v>
      </c>
      <c r="D604" s="72">
        <v>687623890</v>
      </c>
      <c r="E604" s="73">
        <v>2522447501</v>
      </c>
      <c r="F604" s="39" t="s">
        <v>252</v>
      </c>
      <c r="G604" s="81">
        <v>35034</v>
      </c>
      <c r="H604" s="105" t="str">
        <f t="shared" si="46"/>
        <v>December</v>
      </c>
      <c r="I604" s="51">
        <f t="shared" ca="1" si="47"/>
        <v>20</v>
      </c>
      <c r="J604" s="52"/>
      <c r="K604" s="53">
        <v>23692</v>
      </c>
      <c r="L604" s="54">
        <v>4</v>
      </c>
    </row>
    <row r="605" spans="1:12" ht="15" x14ac:dyDescent="0.25">
      <c r="A605" s="39" t="s">
        <v>848</v>
      </c>
      <c r="B605" s="46" t="s">
        <v>271</v>
      </c>
      <c r="C605" s="39" t="s">
        <v>856</v>
      </c>
      <c r="D605" s="72">
        <v>644489557</v>
      </c>
      <c r="E605" s="73">
        <v>2526532463</v>
      </c>
      <c r="F605" s="39" t="s">
        <v>256</v>
      </c>
      <c r="G605" s="81">
        <v>36012</v>
      </c>
      <c r="H605" s="105" t="str">
        <f t="shared" si="46"/>
        <v>August</v>
      </c>
      <c r="I605" s="51">
        <f t="shared" ca="1" si="47"/>
        <v>18</v>
      </c>
      <c r="J605" s="52" t="s">
        <v>262</v>
      </c>
      <c r="K605" s="53">
        <v>78950</v>
      </c>
      <c r="L605" s="54">
        <v>1</v>
      </c>
    </row>
    <row r="606" spans="1:12" ht="15" x14ac:dyDescent="0.25">
      <c r="A606" s="39" t="s">
        <v>865</v>
      </c>
      <c r="B606" s="46" t="s">
        <v>285</v>
      </c>
      <c r="C606" s="39" t="s">
        <v>856</v>
      </c>
      <c r="D606" s="72">
        <v>110726520</v>
      </c>
      <c r="E606" s="73">
        <v>9197963782</v>
      </c>
      <c r="F606" s="39" t="s">
        <v>256</v>
      </c>
      <c r="G606" s="81">
        <v>35497</v>
      </c>
      <c r="H606" s="105" t="str">
        <f t="shared" si="46"/>
        <v>March</v>
      </c>
      <c r="I606" s="51">
        <f t="shared" ca="1" si="47"/>
        <v>19</v>
      </c>
      <c r="J606" s="52" t="s">
        <v>257</v>
      </c>
      <c r="K606" s="53">
        <v>78710</v>
      </c>
      <c r="L606" s="54">
        <v>4</v>
      </c>
    </row>
    <row r="607" spans="1:12" ht="15" x14ac:dyDescent="0.25">
      <c r="A607" s="39" t="s">
        <v>491</v>
      </c>
      <c r="B607" s="46" t="s">
        <v>271</v>
      </c>
      <c r="C607" s="39" t="s">
        <v>856</v>
      </c>
      <c r="D607" s="72">
        <v>975857784</v>
      </c>
      <c r="E607" s="73">
        <v>9192390604</v>
      </c>
      <c r="F607" s="39" t="s">
        <v>247</v>
      </c>
      <c r="G607" s="81">
        <v>36642</v>
      </c>
      <c r="H607" s="105" t="str">
        <f t="shared" si="46"/>
        <v>April</v>
      </c>
      <c r="I607" s="51">
        <f t="shared" ca="1" si="47"/>
        <v>16</v>
      </c>
      <c r="J607" s="52"/>
      <c r="K607" s="53">
        <v>77760</v>
      </c>
      <c r="L607" s="54">
        <v>3</v>
      </c>
    </row>
    <row r="608" spans="1:12" ht="15" x14ac:dyDescent="0.25">
      <c r="A608" s="39" t="s">
        <v>348</v>
      </c>
      <c r="B608" s="46" t="s">
        <v>271</v>
      </c>
      <c r="C608" s="39" t="s">
        <v>856</v>
      </c>
      <c r="D608" s="72">
        <v>863736129</v>
      </c>
      <c r="E608" s="73">
        <v>2522778445</v>
      </c>
      <c r="F608" s="39" t="s">
        <v>261</v>
      </c>
      <c r="G608" s="81">
        <v>35688</v>
      </c>
      <c r="H608" s="105" t="str">
        <f t="shared" si="46"/>
        <v>September</v>
      </c>
      <c r="I608" s="51">
        <f t="shared" ca="1" si="47"/>
        <v>19</v>
      </c>
      <c r="J608" s="52" t="s">
        <v>283</v>
      </c>
      <c r="K608" s="53">
        <v>42740</v>
      </c>
      <c r="L608" s="54">
        <v>2</v>
      </c>
    </row>
    <row r="609" spans="1:12" ht="15" x14ac:dyDescent="0.25">
      <c r="A609" s="39" t="s">
        <v>512</v>
      </c>
      <c r="B609" s="46" t="s">
        <v>285</v>
      </c>
      <c r="C609" s="39" t="s">
        <v>856</v>
      </c>
      <c r="D609" s="72">
        <v>489667166</v>
      </c>
      <c r="E609" s="73">
        <v>2522238881</v>
      </c>
      <c r="F609" s="39" t="s">
        <v>256</v>
      </c>
      <c r="G609" s="81">
        <v>36407</v>
      </c>
      <c r="H609" s="105" t="str">
        <f t="shared" si="46"/>
        <v>September</v>
      </c>
      <c r="I609" s="51">
        <f t="shared" ca="1" si="47"/>
        <v>17</v>
      </c>
      <c r="J609" s="52" t="s">
        <v>262</v>
      </c>
      <c r="K609" s="53">
        <v>45880</v>
      </c>
      <c r="L609" s="54">
        <v>5</v>
      </c>
    </row>
    <row r="610" spans="1:12" ht="15" x14ac:dyDescent="0.25">
      <c r="A610" s="39" t="s">
        <v>945</v>
      </c>
      <c r="B610" s="46" t="s">
        <v>285</v>
      </c>
      <c r="C610" s="39" t="s">
        <v>856</v>
      </c>
      <c r="D610" s="72">
        <v>337411408</v>
      </c>
      <c r="E610" s="73">
        <v>9194729409</v>
      </c>
      <c r="F610" s="39" t="s">
        <v>256</v>
      </c>
      <c r="G610" s="81">
        <v>36526</v>
      </c>
      <c r="H610" s="105" t="str">
        <f t="shared" si="46"/>
        <v>January</v>
      </c>
      <c r="I610" s="51">
        <f t="shared" ca="1" si="47"/>
        <v>16</v>
      </c>
      <c r="J610" s="52" t="s">
        <v>257</v>
      </c>
      <c r="K610" s="53">
        <v>29260</v>
      </c>
      <c r="L610" s="54">
        <v>4</v>
      </c>
    </row>
    <row r="611" spans="1:12" ht="15" x14ac:dyDescent="0.25">
      <c r="A611" s="39" t="s">
        <v>943</v>
      </c>
      <c r="B611" s="46" t="s">
        <v>285</v>
      </c>
      <c r="C611" s="39" t="s">
        <v>856</v>
      </c>
      <c r="D611" s="72">
        <v>826508763</v>
      </c>
      <c r="E611" s="73">
        <v>2526801348</v>
      </c>
      <c r="F611" s="39" t="s">
        <v>256</v>
      </c>
      <c r="G611" s="81">
        <v>39745</v>
      </c>
      <c r="H611" s="105" t="str">
        <f t="shared" si="46"/>
        <v>October</v>
      </c>
      <c r="I611" s="51">
        <f t="shared" ca="1" si="47"/>
        <v>8</v>
      </c>
      <c r="J611" s="52" t="s">
        <v>283</v>
      </c>
      <c r="K611" s="53">
        <v>29330</v>
      </c>
      <c r="L611" s="54">
        <v>5</v>
      </c>
    </row>
    <row r="612" spans="1:12" ht="15" x14ac:dyDescent="0.25">
      <c r="A612" s="39" t="s">
        <v>835</v>
      </c>
      <c r="B612" s="46" t="s">
        <v>245</v>
      </c>
      <c r="C612" s="39" t="s">
        <v>856</v>
      </c>
      <c r="D612" s="72">
        <v>352371400</v>
      </c>
      <c r="E612" s="78">
        <v>2525441252</v>
      </c>
      <c r="F612" s="39" t="s">
        <v>252</v>
      </c>
      <c r="G612" s="81">
        <v>33256</v>
      </c>
      <c r="H612" s="105" t="str">
        <f t="shared" si="46"/>
        <v>January</v>
      </c>
      <c r="I612" s="51">
        <f t="shared" ca="1" si="47"/>
        <v>25</v>
      </c>
      <c r="J612" s="52"/>
      <c r="K612" s="53">
        <v>30468</v>
      </c>
      <c r="L612" s="54">
        <v>2</v>
      </c>
    </row>
    <row r="613" spans="1:12" ht="15" x14ac:dyDescent="0.25">
      <c r="A613" s="39" t="s">
        <v>318</v>
      </c>
      <c r="B613" s="46" t="s">
        <v>285</v>
      </c>
      <c r="C613" s="39" t="s">
        <v>856</v>
      </c>
      <c r="D613" s="72">
        <v>647131956</v>
      </c>
      <c r="E613" s="73">
        <v>2521240785</v>
      </c>
      <c r="F613" s="39" t="s">
        <v>256</v>
      </c>
      <c r="G613" s="81">
        <v>38902</v>
      </c>
      <c r="H613" s="105" t="str">
        <f t="shared" si="46"/>
        <v>July</v>
      </c>
      <c r="I613" s="51">
        <f t="shared" ca="1" si="47"/>
        <v>10</v>
      </c>
      <c r="J613" s="52" t="s">
        <v>257</v>
      </c>
      <c r="K613" s="53">
        <v>73560</v>
      </c>
      <c r="L613" s="54">
        <v>3</v>
      </c>
    </row>
    <row r="614" spans="1:12" ht="15" x14ac:dyDescent="0.25">
      <c r="A614" s="39" t="s">
        <v>648</v>
      </c>
      <c r="B614" s="46" t="s">
        <v>271</v>
      </c>
      <c r="C614" s="39" t="s">
        <v>856</v>
      </c>
      <c r="D614" s="72">
        <v>750581894</v>
      </c>
      <c r="E614" s="73">
        <v>2528433766</v>
      </c>
      <c r="F614" s="39" t="s">
        <v>247</v>
      </c>
      <c r="G614" s="81">
        <v>40350</v>
      </c>
      <c r="H614" s="105" t="str">
        <f t="shared" si="46"/>
        <v>June</v>
      </c>
      <c r="I614" s="51">
        <f t="shared" ca="1" si="47"/>
        <v>6</v>
      </c>
      <c r="J614" s="52"/>
      <c r="K614" s="53">
        <v>21580</v>
      </c>
      <c r="L614" s="54">
        <v>3</v>
      </c>
    </row>
    <row r="615" spans="1:12" ht="15" x14ac:dyDescent="0.25">
      <c r="A615" s="39" t="s">
        <v>873</v>
      </c>
      <c r="B615" s="46" t="s">
        <v>245</v>
      </c>
      <c r="C615" s="39" t="s">
        <v>856</v>
      </c>
      <c r="D615" s="72">
        <v>357568979</v>
      </c>
      <c r="E615" s="73">
        <v>2524316324</v>
      </c>
      <c r="F615" s="39" t="s">
        <v>261</v>
      </c>
      <c r="G615" s="81">
        <v>37775</v>
      </c>
      <c r="H615" s="105" t="str">
        <f t="shared" si="46"/>
        <v>June</v>
      </c>
      <c r="I615" s="51">
        <f t="shared" ca="1" si="47"/>
        <v>13</v>
      </c>
      <c r="J615" s="52" t="s">
        <v>262</v>
      </c>
      <c r="K615" s="53">
        <v>28525</v>
      </c>
      <c r="L615" s="54">
        <v>4</v>
      </c>
    </row>
    <row r="616" spans="1:12" ht="15" x14ac:dyDescent="0.25">
      <c r="A616" s="39" t="s">
        <v>853</v>
      </c>
      <c r="B616" s="46" t="s">
        <v>245</v>
      </c>
      <c r="C616" s="39" t="s">
        <v>856</v>
      </c>
      <c r="D616" s="72">
        <v>855135948</v>
      </c>
      <c r="E616" s="73">
        <v>9196408497</v>
      </c>
      <c r="F616" s="39" t="s">
        <v>256</v>
      </c>
      <c r="G616" s="81">
        <v>39815</v>
      </c>
      <c r="H616" s="105" t="str">
        <f t="shared" si="46"/>
        <v>January</v>
      </c>
      <c r="I616" s="51">
        <f t="shared" ca="1" si="47"/>
        <v>7</v>
      </c>
      <c r="J616" s="52" t="s">
        <v>283</v>
      </c>
      <c r="K616" s="53">
        <v>72060</v>
      </c>
      <c r="L616" s="54">
        <v>2</v>
      </c>
    </row>
    <row r="617" spans="1:12" ht="15" x14ac:dyDescent="0.25">
      <c r="A617" s="39" t="s">
        <v>704</v>
      </c>
      <c r="B617" s="46" t="s">
        <v>271</v>
      </c>
      <c r="C617" s="39" t="s">
        <v>856</v>
      </c>
      <c r="D617" s="72">
        <v>412159105</v>
      </c>
      <c r="E617" s="73">
        <v>9198252392</v>
      </c>
      <c r="F617" s="39" t="s">
        <v>252</v>
      </c>
      <c r="G617" s="81">
        <v>35402</v>
      </c>
      <c r="H617" s="105" t="str">
        <f t="shared" ref="H617:H648" si="48">CHOOSE(MONTH(G617),"January","February","March","April","May","June","July","August","September","October","November","December")</f>
        <v>December</v>
      </c>
      <c r="I617" s="51">
        <f t="shared" ref="I617:I648" ca="1" si="49">DATEDIF(G617,TODAY(),"Y")</f>
        <v>19</v>
      </c>
      <c r="J617" s="52"/>
      <c r="K617" s="53">
        <v>33508</v>
      </c>
      <c r="L617" s="54">
        <v>4</v>
      </c>
    </row>
    <row r="618" spans="1:12" ht="15" x14ac:dyDescent="0.25">
      <c r="A618" s="39" t="s">
        <v>288</v>
      </c>
      <c r="B618" s="46" t="s">
        <v>285</v>
      </c>
      <c r="C618" s="39" t="s">
        <v>856</v>
      </c>
      <c r="D618" s="72">
        <v>932553359</v>
      </c>
      <c r="E618" s="73">
        <v>9192376215</v>
      </c>
      <c r="F618" s="39" t="s">
        <v>247</v>
      </c>
      <c r="G618" s="81">
        <v>39720</v>
      </c>
      <c r="H618" s="105" t="str">
        <f t="shared" si="48"/>
        <v>September</v>
      </c>
      <c r="I618" s="51">
        <f t="shared" ca="1" si="49"/>
        <v>8</v>
      </c>
      <c r="J618" s="52"/>
      <c r="K618" s="53">
        <v>43320</v>
      </c>
      <c r="L618" s="54">
        <v>5</v>
      </c>
    </row>
    <row r="619" spans="1:12" ht="15" x14ac:dyDescent="0.25">
      <c r="A619" s="39" t="s">
        <v>1020</v>
      </c>
      <c r="B619" s="46" t="s">
        <v>271</v>
      </c>
      <c r="C619" s="39" t="s">
        <v>856</v>
      </c>
      <c r="D619" s="72">
        <v>836953739</v>
      </c>
      <c r="E619" s="73">
        <v>2526443692</v>
      </c>
      <c r="F619" s="39" t="s">
        <v>261</v>
      </c>
      <c r="G619" s="81">
        <v>36531</v>
      </c>
      <c r="H619" s="105" t="str">
        <f t="shared" si="48"/>
        <v>January</v>
      </c>
      <c r="I619" s="51">
        <f t="shared" ca="1" si="49"/>
        <v>16</v>
      </c>
      <c r="J619" s="52" t="s">
        <v>267</v>
      </c>
      <c r="K619" s="53">
        <v>20990</v>
      </c>
      <c r="L619" s="54">
        <v>4</v>
      </c>
    </row>
    <row r="620" spans="1:12" ht="15" x14ac:dyDescent="0.25">
      <c r="A620" s="39" t="s">
        <v>359</v>
      </c>
      <c r="B620" s="46" t="s">
        <v>280</v>
      </c>
      <c r="C620" s="39" t="s">
        <v>856</v>
      </c>
      <c r="D620" s="72">
        <v>614562070</v>
      </c>
      <c r="E620" s="73">
        <v>9192485673</v>
      </c>
      <c r="F620" s="39" t="s">
        <v>261</v>
      </c>
      <c r="G620" s="81">
        <v>37815</v>
      </c>
      <c r="H620" s="105" t="str">
        <f t="shared" si="48"/>
        <v>July</v>
      </c>
      <c r="I620" s="51">
        <f t="shared" ca="1" si="49"/>
        <v>13</v>
      </c>
      <c r="J620" s="52" t="s">
        <v>257</v>
      </c>
      <c r="K620" s="53">
        <v>48740</v>
      </c>
      <c r="L620" s="54">
        <v>1</v>
      </c>
    </row>
    <row r="621" spans="1:12" ht="15" x14ac:dyDescent="0.25">
      <c r="A621" s="39" t="s">
        <v>420</v>
      </c>
      <c r="B621" s="46" t="s">
        <v>280</v>
      </c>
      <c r="C621" s="39" t="s">
        <v>856</v>
      </c>
      <c r="D621" s="72">
        <v>269873478</v>
      </c>
      <c r="E621" s="73">
        <v>9198244224</v>
      </c>
      <c r="F621" s="39" t="s">
        <v>256</v>
      </c>
      <c r="G621" s="81">
        <v>35715</v>
      </c>
      <c r="H621" s="105" t="str">
        <f t="shared" si="48"/>
        <v>October</v>
      </c>
      <c r="I621" s="51">
        <f t="shared" ca="1" si="49"/>
        <v>19</v>
      </c>
      <c r="J621" s="52" t="s">
        <v>283</v>
      </c>
      <c r="K621" s="53">
        <v>32120</v>
      </c>
      <c r="L621" s="54">
        <v>1</v>
      </c>
    </row>
    <row r="622" spans="1:12" ht="15" x14ac:dyDescent="0.25">
      <c r="A622" s="39" t="s">
        <v>896</v>
      </c>
      <c r="B622" s="46" t="s">
        <v>251</v>
      </c>
      <c r="C622" s="39" t="s">
        <v>856</v>
      </c>
      <c r="D622" s="72">
        <v>462461365</v>
      </c>
      <c r="E622" s="73">
        <v>2527126482</v>
      </c>
      <c r="F622" s="39" t="s">
        <v>256</v>
      </c>
      <c r="G622" s="81">
        <v>34021</v>
      </c>
      <c r="H622" s="105" t="str">
        <f t="shared" si="48"/>
        <v>February</v>
      </c>
      <c r="I622" s="51">
        <f t="shared" ca="1" si="49"/>
        <v>23</v>
      </c>
      <c r="J622" s="52" t="s">
        <v>283</v>
      </c>
      <c r="K622" s="53">
        <v>45110</v>
      </c>
      <c r="L622" s="54">
        <v>2</v>
      </c>
    </row>
    <row r="623" spans="1:12" ht="15" x14ac:dyDescent="0.25">
      <c r="A623" s="39" t="s">
        <v>1034</v>
      </c>
      <c r="B623" s="46" t="s">
        <v>245</v>
      </c>
      <c r="C623" s="39" t="s">
        <v>856</v>
      </c>
      <c r="D623" s="72">
        <v>512404764</v>
      </c>
      <c r="E623" s="73">
        <v>9193976775</v>
      </c>
      <c r="F623" s="39" t="s">
        <v>256</v>
      </c>
      <c r="G623" s="81">
        <v>36290</v>
      </c>
      <c r="H623" s="105" t="str">
        <f t="shared" si="48"/>
        <v>May</v>
      </c>
      <c r="I623" s="51">
        <f t="shared" ca="1" si="49"/>
        <v>17</v>
      </c>
      <c r="J623" s="52" t="s">
        <v>283</v>
      </c>
      <c r="K623" s="53">
        <v>39000</v>
      </c>
      <c r="L623" s="54">
        <v>3</v>
      </c>
    </row>
    <row r="624" spans="1:12" ht="15" x14ac:dyDescent="0.25">
      <c r="A624" s="45" t="s">
        <v>278</v>
      </c>
      <c r="B624" s="46" t="s">
        <v>285</v>
      </c>
      <c r="C624" s="39" t="s">
        <v>856</v>
      </c>
      <c r="D624" s="72">
        <v>331251341</v>
      </c>
      <c r="E624" s="73">
        <v>2528678875</v>
      </c>
      <c r="F624" s="39" t="s">
        <v>256</v>
      </c>
      <c r="G624" s="81">
        <v>35896</v>
      </c>
      <c r="H624" s="105" t="str">
        <f t="shared" si="48"/>
        <v>April</v>
      </c>
      <c r="I624" s="51">
        <f t="shared" ca="1" si="49"/>
        <v>18</v>
      </c>
      <c r="J624" s="52" t="s">
        <v>283</v>
      </c>
      <c r="K624" s="53">
        <v>70280</v>
      </c>
      <c r="L624" s="54">
        <v>3</v>
      </c>
    </row>
    <row r="625" spans="1:12" ht="15" x14ac:dyDescent="0.25">
      <c r="A625" s="39" t="s">
        <v>788</v>
      </c>
      <c r="B625" s="46" t="s">
        <v>245</v>
      </c>
      <c r="C625" s="39" t="s">
        <v>856</v>
      </c>
      <c r="D625" s="72">
        <v>765836666</v>
      </c>
      <c r="E625" s="73">
        <v>2525013435</v>
      </c>
      <c r="F625" s="39" t="s">
        <v>256</v>
      </c>
      <c r="G625" s="81">
        <v>39153</v>
      </c>
      <c r="H625" s="105" t="str">
        <f t="shared" si="48"/>
        <v>March</v>
      </c>
      <c r="I625" s="51">
        <f t="shared" ca="1" si="49"/>
        <v>9</v>
      </c>
      <c r="J625" s="52" t="s">
        <v>283</v>
      </c>
      <c r="K625" s="53">
        <v>43600</v>
      </c>
      <c r="L625" s="54">
        <v>5</v>
      </c>
    </row>
    <row r="626" spans="1:12" ht="15" x14ac:dyDescent="0.25">
      <c r="A626" s="39" t="s">
        <v>978</v>
      </c>
      <c r="B626" s="46" t="s">
        <v>285</v>
      </c>
      <c r="C626" s="39" t="s">
        <v>856</v>
      </c>
      <c r="D626" s="72">
        <v>708082156</v>
      </c>
      <c r="E626" s="73">
        <v>9194919822</v>
      </c>
      <c r="F626" s="39" t="s">
        <v>256</v>
      </c>
      <c r="G626" s="81">
        <v>36312</v>
      </c>
      <c r="H626" s="105" t="str">
        <f t="shared" si="48"/>
        <v>June</v>
      </c>
      <c r="I626" s="51">
        <f t="shared" ca="1" si="49"/>
        <v>17</v>
      </c>
      <c r="J626" s="52" t="s">
        <v>257</v>
      </c>
      <c r="K626" s="53">
        <v>69200</v>
      </c>
      <c r="L626" s="54">
        <v>4</v>
      </c>
    </row>
    <row r="627" spans="1:12" ht="15" x14ac:dyDescent="0.25">
      <c r="A627" s="39" t="s">
        <v>595</v>
      </c>
      <c r="B627" s="46" t="s">
        <v>285</v>
      </c>
      <c r="C627" s="39" t="s">
        <v>856</v>
      </c>
      <c r="D627" s="72">
        <v>693965055</v>
      </c>
      <c r="E627" s="73">
        <v>2527853314</v>
      </c>
      <c r="F627" s="39" t="s">
        <v>256</v>
      </c>
      <c r="G627" s="81">
        <v>33711</v>
      </c>
      <c r="H627" s="105" t="str">
        <f t="shared" si="48"/>
        <v>April</v>
      </c>
      <c r="I627" s="51">
        <f t="shared" ca="1" si="49"/>
        <v>24</v>
      </c>
      <c r="J627" s="52" t="s">
        <v>257</v>
      </c>
      <c r="K627" s="53">
        <v>68470</v>
      </c>
      <c r="L627" s="54">
        <v>4</v>
      </c>
    </row>
    <row r="628" spans="1:12" ht="15" x14ac:dyDescent="0.25">
      <c r="A628" s="39" t="s">
        <v>444</v>
      </c>
      <c r="B628" s="46" t="s">
        <v>280</v>
      </c>
      <c r="C628" s="39" t="s">
        <v>856</v>
      </c>
      <c r="D628" s="72">
        <v>531654742</v>
      </c>
      <c r="E628" s="73">
        <v>9195770085</v>
      </c>
      <c r="F628" s="39" t="s">
        <v>256</v>
      </c>
      <c r="G628" s="81">
        <v>37793</v>
      </c>
      <c r="H628" s="105" t="str">
        <f t="shared" si="48"/>
        <v>June</v>
      </c>
      <c r="I628" s="51">
        <f t="shared" ca="1" si="49"/>
        <v>13</v>
      </c>
      <c r="J628" s="52" t="s">
        <v>257</v>
      </c>
      <c r="K628" s="53">
        <v>29210</v>
      </c>
      <c r="L628" s="54">
        <v>5</v>
      </c>
    </row>
    <row r="629" spans="1:12" ht="15" x14ac:dyDescent="0.25">
      <c r="A629" s="39" t="s">
        <v>1035</v>
      </c>
      <c r="B629" s="46" t="s">
        <v>251</v>
      </c>
      <c r="C629" s="39" t="s">
        <v>856</v>
      </c>
      <c r="D629" s="72">
        <v>593584018</v>
      </c>
      <c r="E629" s="73">
        <v>9194626281</v>
      </c>
      <c r="F629" s="39" t="s">
        <v>256</v>
      </c>
      <c r="G629" s="81">
        <v>33454</v>
      </c>
      <c r="H629" s="105" t="str">
        <f t="shared" si="48"/>
        <v>August</v>
      </c>
      <c r="I629" s="51">
        <f t="shared" ca="1" si="49"/>
        <v>25</v>
      </c>
      <c r="J629" s="52" t="s">
        <v>257</v>
      </c>
      <c r="K629" s="53">
        <v>67920</v>
      </c>
      <c r="L629" s="54">
        <v>4</v>
      </c>
    </row>
    <row r="630" spans="1:12" ht="15" x14ac:dyDescent="0.25">
      <c r="A630" s="39" t="s">
        <v>469</v>
      </c>
      <c r="B630" s="46" t="s">
        <v>245</v>
      </c>
      <c r="C630" s="39" t="s">
        <v>856</v>
      </c>
      <c r="D630" s="72">
        <v>291274360</v>
      </c>
      <c r="E630" s="73">
        <v>2524563177</v>
      </c>
      <c r="F630" s="39" t="s">
        <v>256</v>
      </c>
      <c r="G630" s="81">
        <v>36081</v>
      </c>
      <c r="H630" s="105" t="str">
        <f t="shared" si="48"/>
        <v>October</v>
      </c>
      <c r="I630" s="51">
        <f t="shared" ca="1" si="49"/>
        <v>18</v>
      </c>
      <c r="J630" s="52" t="s">
        <v>283</v>
      </c>
      <c r="K630" s="53">
        <v>67407</v>
      </c>
      <c r="L630" s="54">
        <v>5</v>
      </c>
    </row>
    <row r="631" spans="1:12" ht="15" x14ac:dyDescent="0.25">
      <c r="A631" s="39" t="s">
        <v>1017</v>
      </c>
      <c r="B631" s="46" t="s">
        <v>245</v>
      </c>
      <c r="C631" s="39" t="s">
        <v>856</v>
      </c>
      <c r="D631" s="72">
        <v>288741910</v>
      </c>
      <c r="E631" s="73">
        <v>2522842668</v>
      </c>
      <c r="F631" s="39" t="s">
        <v>256</v>
      </c>
      <c r="G631" s="81">
        <v>36360</v>
      </c>
      <c r="H631" s="105" t="str">
        <f t="shared" si="48"/>
        <v>July</v>
      </c>
      <c r="I631" s="51">
        <f t="shared" ca="1" si="49"/>
        <v>17</v>
      </c>
      <c r="J631" s="52" t="s">
        <v>283</v>
      </c>
      <c r="K631" s="53">
        <v>67020</v>
      </c>
      <c r="L631" s="54">
        <v>1</v>
      </c>
    </row>
    <row r="632" spans="1:12" ht="15" x14ac:dyDescent="0.25">
      <c r="A632" s="39" t="s">
        <v>918</v>
      </c>
      <c r="B632" s="46" t="s">
        <v>266</v>
      </c>
      <c r="C632" s="39" t="s">
        <v>856</v>
      </c>
      <c r="D632" s="72">
        <v>733881041</v>
      </c>
      <c r="E632" s="73">
        <v>2524072342</v>
      </c>
      <c r="F632" s="39" t="s">
        <v>252</v>
      </c>
      <c r="G632" s="81">
        <v>36557</v>
      </c>
      <c r="H632" s="105" t="str">
        <f t="shared" si="48"/>
        <v>February</v>
      </c>
      <c r="I632" s="51">
        <f t="shared" ca="1" si="49"/>
        <v>16</v>
      </c>
      <c r="J632" s="52"/>
      <c r="K632" s="53">
        <v>15552</v>
      </c>
      <c r="L632" s="54">
        <v>4</v>
      </c>
    </row>
    <row r="633" spans="1:12" ht="15" x14ac:dyDescent="0.25">
      <c r="A633" s="39" t="s">
        <v>605</v>
      </c>
      <c r="B633" s="46" t="s">
        <v>271</v>
      </c>
      <c r="C633" s="39" t="s">
        <v>856</v>
      </c>
      <c r="D633" s="72">
        <v>404589373</v>
      </c>
      <c r="E633" s="73">
        <v>9198407416</v>
      </c>
      <c r="F633" s="39" t="s">
        <v>256</v>
      </c>
      <c r="G633" s="81">
        <v>34028</v>
      </c>
      <c r="H633" s="105" t="str">
        <f t="shared" si="48"/>
        <v>February</v>
      </c>
      <c r="I633" s="51">
        <f t="shared" ca="1" si="49"/>
        <v>23</v>
      </c>
      <c r="J633" s="52" t="s">
        <v>283</v>
      </c>
      <c r="K633" s="53">
        <v>66824</v>
      </c>
      <c r="L633" s="54">
        <v>2</v>
      </c>
    </row>
    <row r="634" spans="1:12" ht="15" x14ac:dyDescent="0.25">
      <c r="A634" s="39" t="s">
        <v>523</v>
      </c>
      <c r="B634" s="46" t="s">
        <v>271</v>
      </c>
      <c r="C634" s="39" t="s">
        <v>856</v>
      </c>
      <c r="D634" s="72">
        <v>277925508</v>
      </c>
      <c r="E634" s="73">
        <v>2526584511</v>
      </c>
      <c r="F634" s="39" t="s">
        <v>256</v>
      </c>
      <c r="G634" s="81">
        <v>35373</v>
      </c>
      <c r="H634" s="105" t="str">
        <f t="shared" si="48"/>
        <v>November</v>
      </c>
      <c r="I634" s="51">
        <f t="shared" ca="1" si="49"/>
        <v>20</v>
      </c>
      <c r="J634" s="52" t="s">
        <v>283</v>
      </c>
      <c r="K634" s="53">
        <v>66440</v>
      </c>
      <c r="L634" s="54">
        <v>3</v>
      </c>
    </row>
    <row r="635" spans="1:12" ht="15" x14ac:dyDescent="0.25">
      <c r="A635" s="39" t="s">
        <v>1033</v>
      </c>
      <c r="B635" s="46" t="s">
        <v>285</v>
      </c>
      <c r="C635" s="39" t="s">
        <v>856</v>
      </c>
      <c r="D635" s="72">
        <v>622200296</v>
      </c>
      <c r="E635" s="73">
        <v>2526306545</v>
      </c>
      <c r="F635" s="39" t="s">
        <v>256</v>
      </c>
      <c r="G635" s="81">
        <v>33685</v>
      </c>
      <c r="H635" s="105" t="str">
        <f t="shared" si="48"/>
        <v>March</v>
      </c>
      <c r="I635" s="51">
        <f t="shared" ca="1" si="49"/>
        <v>24</v>
      </c>
      <c r="J635" s="52" t="s">
        <v>257</v>
      </c>
      <c r="K635" s="53">
        <v>65571</v>
      </c>
      <c r="L635" s="54">
        <v>3</v>
      </c>
    </row>
    <row r="636" spans="1:12" ht="15" x14ac:dyDescent="0.25">
      <c r="A636" s="39" t="s">
        <v>499</v>
      </c>
      <c r="B636" s="46" t="s">
        <v>251</v>
      </c>
      <c r="C636" s="39" t="s">
        <v>856</v>
      </c>
      <c r="D636" s="72">
        <v>626501093</v>
      </c>
      <c r="E636" s="73">
        <v>9192822520</v>
      </c>
      <c r="F636" s="39" t="s">
        <v>247</v>
      </c>
      <c r="G636" s="81">
        <v>38027</v>
      </c>
      <c r="H636" s="105" t="str">
        <f t="shared" si="48"/>
        <v>February</v>
      </c>
      <c r="I636" s="51">
        <f t="shared" ca="1" si="49"/>
        <v>12</v>
      </c>
      <c r="J636" s="52"/>
      <c r="K636" s="53">
        <v>64590</v>
      </c>
      <c r="L636" s="54">
        <v>1</v>
      </c>
    </row>
    <row r="637" spans="1:12" ht="15" x14ac:dyDescent="0.25">
      <c r="A637" s="39" t="s">
        <v>438</v>
      </c>
      <c r="B637" s="46" t="s">
        <v>285</v>
      </c>
      <c r="C637" s="39" t="s">
        <v>856</v>
      </c>
      <c r="D637" s="72">
        <v>420739404</v>
      </c>
      <c r="E637" s="73">
        <v>9197785583</v>
      </c>
      <c r="F637" s="39" t="s">
        <v>256</v>
      </c>
      <c r="G637" s="81">
        <v>33269</v>
      </c>
      <c r="H637" s="105" t="str">
        <f t="shared" si="48"/>
        <v>January</v>
      </c>
      <c r="I637" s="51">
        <f t="shared" ca="1" si="49"/>
        <v>25</v>
      </c>
      <c r="J637" s="52" t="s">
        <v>283</v>
      </c>
      <c r="K637" s="53">
        <v>24840</v>
      </c>
      <c r="L637" s="54">
        <v>1</v>
      </c>
    </row>
    <row r="638" spans="1:12" ht="15" x14ac:dyDescent="0.25">
      <c r="A638" s="39" t="s">
        <v>454</v>
      </c>
      <c r="B638" s="46" t="s">
        <v>271</v>
      </c>
      <c r="C638" s="39" t="s">
        <v>856</v>
      </c>
      <c r="D638" s="72">
        <v>272659955</v>
      </c>
      <c r="E638" s="73">
        <v>9194127875</v>
      </c>
      <c r="F638" s="39" t="s">
        <v>256</v>
      </c>
      <c r="G638" s="81">
        <v>34285</v>
      </c>
      <c r="H638" s="105" t="str">
        <f t="shared" si="48"/>
        <v>November</v>
      </c>
      <c r="I638" s="51">
        <f t="shared" ca="1" si="49"/>
        <v>23</v>
      </c>
      <c r="J638" s="52" t="s">
        <v>267</v>
      </c>
      <c r="K638" s="53">
        <v>48490</v>
      </c>
      <c r="L638" s="54">
        <v>2</v>
      </c>
    </row>
    <row r="639" spans="1:12" ht="15" x14ac:dyDescent="0.25">
      <c r="A639" s="39" t="s">
        <v>457</v>
      </c>
      <c r="B639" s="46" t="s">
        <v>266</v>
      </c>
      <c r="C639" s="39" t="s">
        <v>856</v>
      </c>
      <c r="D639" s="72">
        <v>781472289</v>
      </c>
      <c r="E639" s="73">
        <v>2528502926</v>
      </c>
      <c r="F639" s="39" t="s">
        <v>256</v>
      </c>
      <c r="G639" s="81">
        <v>33548</v>
      </c>
      <c r="H639" s="105" t="str">
        <f t="shared" si="48"/>
        <v>November</v>
      </c>
      <c r="I639" s="51">
        <f t="shared" ca="1" si="49"/>
        <v>25</v>
      </c>
      <c r="J639" s="52" t="s">
        <v>283</v>
      </c>
      <c r="K639" s="53">
        <v>63050</v>
      </c>
      <c r="L639" s="54">
        <v>3</v>
      </c>
    </row>
    <row r="640" spans="1:12" ht="15" x14ac:dyDescent="0.25">
      <c r="A640" s="39" t="s">
        <v>949</v>
      </c>
      <c r="B640" s="46" t="s">
        <v>271</v>
      </c>
      <c r="C640" s="39" t="s">
        <v>856</v>
      </c>
      <c r="D640" s="72">
        <v>562497973</v>
      </c>
      <c r="E640" s="73">
        <v>2524111882</v>
      </c>
      <c r="F640" s="39" t="s">
        <v>256</v>
      </c>
      <c r="G640" s="81">
        <v>35356</v>
      </c>
      <c r="H640" s="105" t="str">
        <f t="shared" si="48"/>
        <v>October</v>
      </c>
      <c r="I640" s="51">
        <f t="shared" ca="1" si="49"/>
        <v>20</v>
      </c>
      <c r="J640" s="52" t="s">
        <v>262</v>
      </c>
      <c r="K640" s="53">
        <v>63030</v>
      </c>
      <c r="L640" s="54">
        <v>1</v>
      </c>
    </row>
    <row r="641" spans="1:12" ht="15" x14ac:dyDescent="0.25">
      <c r="A641" s="39" t="s">
        <v>971</v>
      </c>
      <c r="B641" s="46" t="s">
        <v>245</v>
      </c>
      <c r="C641" s="39" t="s">
        <v>856</v>
      </c>
      <c r="D641" s="72">
        <v>426014550</v>
      </c>
      <c r="E641" s="73">
        <v>2522889182</v>
      </c>
      <c r="F641" s="39" t="s">
        <v>256</v>
      </c>
      <c r="G641" s="81">
        <v>35451</v>
      </c>
      <c r="H641" s="105" t="str">
        <f t="shared" si="48"/>
        <v>January</v>
      </c>
      <c r="I641" s="51">
        <f t="shared" ca="1" si="49"/>
        <v>19</v>
      </c>
      <c r="J641" s="52" t="s">
        <v>276</v>
      </c>
      <c r="K641" s="53">
        <v>62965</v>
      </c>
      <c r="L641" s="54">
        <v>1</v>
      </c>
    </row>
    <row r="642" spans="1:12" ht="15" x14ac:dyDescent="0.25">
      <c r="A642" s="39" t="s">
        <v>360</v>
      </c>
      <c r="B642" s="46" t="s">
        <v>271</v>
      </c>
      <c r="C642" s="39" t="s">
        <v>856</v>
      </c>
      <c r="D642" s="72">
        <v>705186668</v>
      </c>
      <c r="E642" s="73">
        <v>9193922813</v>
      </c>
      <c r="F642" s="39" t="s">
        <v>252</v>
      </c>
      <c r="G642" s="81">
        <v>34180</v>
      </c>
      <c r="H642" s="105" t="str">
        <f t="shared" si="48"/>
        <v>July</v>
      </c>
      <c r="I642" s="51">
        <f t="shared" ca="1" si="49"/>
        <v>23</v>
      </c>
      <c r="J642" s="52"/>
      <c r="K642" s="53">
        <v>26484</v>
      </c>
      <c r="L642" s="54">
        <v>5</v>
      </c>
    </row>
    <row r="643" spans="1:12" ht="15" x14ac:dyDescent="0.25">
      <c r="A643" s="39" t="s">
        <v>386</v>
      </c>
      <c r="B643" s="46" t="s">
        <v>271</v>
      </c>
      <c r="C643" s="39" t="s">
        <v>856</v>
      </c>
      <c r="D643" s="72">
        <v>548704405</v>
      </c>
      <c r="E643" s="73">
        <v>2526458440</v>
      </c>
      <c r="F643" s="39" t="s">
        <v>247</v>
      </c>
      <c r="G643" s="81">
        <v>36406</v>
      </c>
      <c r="H643" s="105" t="str">
        <f t="shared" si="48"/>
        <v>September</v>
      </c>
      <c r="I643" s="51">
        <f t="shared" ca="1" si="49"/>
        <v>17</v>
      </c>
      <c r="J643" s="52"/>
      <c r="K643" s="53">
        <v>60800</v>
      </c>
      <c r="L643" s="54">
        <v>4</v>
      </c>
    </row>
    <row r="644" spans="1:12" ht="15" x14ac:dyDescent="0.25">
      <c r="A644" s="39" t="s">
        <v>994</v>
      </c>
      <c r="B644" s="46" t="s">
        <v>280</v>
      </c>
      <c r="C644" s="39" t="s">
        <v>856</v>
      </c>
      <c r="D644" s="72">
        <v>619456809</v>
      </c>
      <c r="E644" s="73">
        <v>9196865606</v>
      </c>
      <c r="F644" s="39" t="s">
        <v>261</v>
      </c>
      <c r="G644" s="81">
        <v>35842</v>
      </c>
      <c r="H644" s="105" t="str">
        <f t="shared" si="48"/>
        <v>February</v>
      </c>
      <c r="I644" s="51">
        <f t="shared" ca="1" si="49"/>
        <v>18</v>
      </c>
      <c r="J644" s="52" t="s">
        <v>267</v>
      </c>
      <c r="K644" s="53">
        <v>39530</v>
      </c>
      <c r="L644" s="54">
        <v>5</v>
      </c>
    </row>
    <row r="645" spans="1:12" ht="15" x14ac:dyDescent="0.25">
      <c r="A645" s="39" t="s">
        <v>666</v>
      </c>
      <c r="B645" s="46" t="s">
        <v>245</v>
      </c>
      <c r="C645" s="39" t="s">
        <v>856</v>
      </c>
      <c r="D645" s="72">
        <v>221347766</v>
      </c>
      <c r="E645" s="73">
        <v>2526853122</v>
      </c>
      <c r="F645" s="39" t="s">
        <v>247</v>
      </c>
      <c r="G645" s="81">
        <v>36070</v>
      </c>
      <c r="H645" s="105" t="str">
        <f t="shared" si="48"/>
        <v>October</v>
      </c>
      <c r="I645" s="51">
        <f t="shared" ca="1" si="49"/>
        <v>18</v>
      </c>
      <c r="J645" s="52"/>
      <c r="K645" s="53">
        <v>59050</v>
      </c>
      <c r="L645" s="54">
        <v>4</v>
      </c>
    </row>
    <row r="646" spans="1:12" ht="15" x14ac:dyDescent="0.25">
      <c r="A646" s="39" t="s">
        <v>356</v>
      </c>
      <c r="B646" s="46" t="s">
        <v>285</v>
      </c>
      <c r="C646" s="39" t="s">
        <v>856</v>
      </c>
      <c r="D646" s="72">
        <v>125540405</v>
      </c>
      <c r="E646" s="73">
        <v>2524589262</v>
      </c>
      <c r="F646" s="39" t="s">
        <v>256</v>
      </c>
      <c r="G646" s="81">
        <v>36245</v>
      </c>
      <c r="H646" s="105" t="str">
        <f t="shared" si="48"/>
        <v>March</v>
      </c>
      <c r="I646" s="51">
        <f t="shared" ca="1" si="49"/>
        <v>17</v>
      </c>
      <c r="J646" s="52" t="s">
        <v>257</v>
      </c>
      <c r="K646" s="53">
        <v>58410</v>
      </c>
      <c r="L646" s="54">
        <v>5</v>
      </c>
    </row>
    <row r="647" spans="1:12" ht="15" x14ac:dyDescent="0.25">
      <c r="A647" s="39" t="s">
        <v>694</v>
      </c>
      <c r="B647" s="46" t="s">
        <v>285</v>
      </c>
      <c r="C647" s="39" t="s">
        <v>856</v>
      </c>
      <c r="D647" s="72">
        <v>750722934</v>
      </c>
      <c r="E647" s="73">
        <v>2523631883</v>
      </c>
      <c r="F647" s="39" t="s">
        <v>256</v>
      </c>
      <c r="G647" s="81">
        <v>35569</v>
      </c>
      <c r="H647" s="105" t="str">
        <f t="shared" si="48"/>
        <v>May</v>
      </c>
      <c r="I647" s="51">
        <f t="shared" ca="1" si="49"/>
        <v>19</v>
      </c>
      <c r="J647" s="52" t="s">
        <v>283</v>
      </c>
      <c r="K647" s="53">
        <v>37770</v>
      </c>
      <c r="L647" s="54">
        <v>5</v>
      </c>
    </row>
    <row r="648" spans="1:12" ht="15" x14ac:dyDescent="0.25">
      <c r="A648" s="39" t="s">
        <v>847</v>
      </c>
      <c r="B648" s="46" t="s">
        <v>251</v>
      </c>
      <c r="C648" s="39" t="s">
        <v>856</v>
      </c>
      <c r="D648" s="72">
        <v>368385341</v>
      </c>
      <c r="E648" s="73">
        <v>9195526537</v>
      </c>
      <c r="F648" s="39" t="s">
        <v>247</v>
      </c>
      <c r="G648" s="81">
        <v>37082</v>
      </c>
      <c r="H648" s="105" t="str">
        <f t="shared" si="48"/>
        <v>July</v>
      </c>
      <c r="I648" s="51">
        <f t="shared" ca="1" si="49"/>
        <v>15</v>
      </c>
      <c r="J648" s="52"/>
      <c r="K648" s="53">
        <v>46780</v>
      </c>
      <c r="L648" s="54">
        <v>2</v>
      </c>
    </row>
    <row r="649" spans="1:12" ht="15" x14ac:dyDescent="0.25">
      <c r="A649" s="39" t="s">
        <v>838</v>
      </c>
      <c r="B649" s="46" t="s">
        <v>285</v>
      </c>
      <c r="C649" s="39" t="s">
        <v>856</v>
      </c>
      <c r="D649" s="72">
        <v>195772503</v>
      </c>
      <c r="E649" s="73">
        <v>9193123940</v>
      </c>
      <c r="F649" s="39" t="s">
        <v>247</v>
      </c>
      <c r="G649" s="81">
        <v>33914</v>
      </c>
      <c r="H649" s="105" t="str">
        <f t="shared" ref="H649:H657" si="50">CHOOSE(MONTH(G649),"January","February","March","April","May","June","July","August","September","October","November","December")</f>
        <v>November</v>
      </c>
      <c r="I649" s="51">
        <f t="shared" ref="I649:I657" ca="1" si="51">DATEDIF(G649,TODAY(),"Y")</f>
        <v>24</v>
      </c>
      <c r="J649" s="52"/>
      <c r="K649" s="53">
        <v>55690</v>
      </c>
      <c r="L649" s="54">
        <v>2</v>
      </c>
    </row>
    <row r="650" spans="1:12" ht="15" x14ac:dyDescent="0.25">
      <c r="A650" s="45" t="s">
        <v>282</v>
      </c>
      <c r="B650" s="46" t="s">
        <v>285</v>
      </c>
      <c r="C650" s="39" t="s">
        <v>856</v>
      </c>
      <c r="D650" s="72">
        <v>393973492</v>
      </c>
      <c r="E650" s="73">
        <v>2522869792</v>
      </c>
      <c r="F650" s="39" t="s">
        <v>261</v>
      </c>
      <c r="G650" s="81">
        <v>36423</v>
      </c>
      <c r="H650" s="105" t="str">
        <f t="shared" si="50"/>
        <v>September</v>
      </c>
      <c r="I650" s="51">
        <f t="shared" ca="1" si="51"/>
        <v>17</v>
      </c>
      <c r="J650" s="52" t="s">
        <v>276</v>
      </c>
      <c r="K650" s="53">
        <v>47350</v>
      </c>
      <c r="L650" s="54">
        <v>1</v>
      </c>
    </row>
    <row r="651" spans="1:12" ht="15" x14ac:dyDescent="0.25">
      <c r="A651" s="39" t="s">
        <v>621</v>
      </c>
      <c r="B651" s="46" t="s">
        <v>285</v>
      </c>
      <c r="C651" s="39" t="s">
        <v>856</v>
      </c>
      <c r="D651" s="72">
        <v>135633006</v>
      </c>
      <c r="E651" s="73">
        <v>2526732103</v>
      </c>
      <c r="F651" s="39" t="s">
        <v>247</v>
      </c>
      <c r="G651" s="81">
        <v>36479</v>
      </c>
      <c r="H651" s="105" t="str">
        <f t="shared" si="50"/>
        <v>November</v>
      </c>
      <c r="I651" s="51">
        <f t="shared" ca="1" si="51"/>
        <v>17</v>
      </c>
      <c r="J651" s="52"/>
      <c r="K651" s="53">
        <v>54840</v>
      </c>
      <c r="L651" s="54">
        <v>4</v>
      </c>
    </row>
    <row r="652" spans="1:12" ht="15" x14ac:dyDescent="0.25">
      <c r="A652" s="39" t="s">
        <v>867</v>
      </c>
      <c r="B652" s="46" t="s">
        <v>285</v>
      </c>
      <c r="C652" s="39" t="s">
        <v>856</v>
      </c>
      <c r="D652" s="72">
        <v>784064156</v>
      </c>
      <c r="E652" s="78">
        <v>9193355152</v>
      </c>
      <c r="F652" s="39" t="s">
        <v>256</v>
      </c>
      <c r="G652" s="81">
        <v>33604</v>
      </c>
      <c r="H652" s="105" t="str">
        <f t="shared" si="50"/>
        <v>January</v>
      </c>
      <c r="I652" s="51">
        <f t="shared" ca="1" si="51"/>
        <v>24</v>
      </c>
      <c r="J652" s="52" t="s">
        <v>257</v>
      </c>
      <c r="K652" s="53">
        <v>54830</v>
      </c>
      <c r="L652" s="54">
        <v>1</v>
      </c>
    </row>
    <row r="653" spans="1:12" ht="15" x14ac:dyDescent="0.25">
      <c r="A653" s="39" t="s">
        <v>660</v>
      </c>
      <c r="B653" s="46" t="s">
        <v>245</v>
      </c>
      <c r="C653" s="39" t="s">
        <v>856</v>
      </c>
      <c r="D653" s="72">
        <v>186821354</v>
      </c>
      <c r="E653" s="73">
        <v>2528527032</v>
      </c>
      <c r="F653" s="39" t="s">
        <v>256</v>
      </c>
      <c r="G653" s="81">
        <v>34010</v>
      </c>
      <c r="H653" s="105" t="str">
        <f t="shared" si="50"/>
        <v>February</v>
      </c>
      <c r="I653" s="51">
        <f t="shared" ca="1" si="51"/>
        <v>23</v>
      </c>
      <c r="J653" s="52" t="s">
        <v>257</v>
      </c>
      <c r="K653" s="53">
        <v>54270</v>
      </c>
      <c r="L653" s="54">
        <v>3</v>
      </c>
    </row>
    <row r="654" spans="1:12" ht="15" x14ac:dyDescent="0.25">
      <c r="A654" s="39" t="s">
        <v>1016</v>
      </c>
      <c r="B654" s="46" t="s">
        <v>285</v>
      </c>
      <c r="C654" s="39" t="s">
        <v>856</v>
      </c>
      <c r="D654" s="72">
        <v>100703382</v>
      </c>
      <c r="E654" s="73">
        <v>9195157047</v>
      </c>
      <c r="F654" s="39" t="s">
        <v>256</v>
      </c>
      <c r="G654" s="81">
        <v>34160</v>
      </c>
      <c r="H654" s="105" t="str">
        <f t="shared" si="50"/>
        <v>July</v>
      </c>
      <c r="I654" s="51">
        <f t="shared" ca="1" si="51"/>
        <v>23</v>
      </c>
      <c r="J654" s="52" t="s">
        <v>257</v>
      </c>
      <c r="K654" s="53">
        <v>54200</v>
      </c>
      <c r="L654" s="54">
        <v>4</v>
      </c>
    </row>
    <row r="655" spans="1:12" ht="15" x14ac:dyDescent="0.25">
      <c r="A655" s="39" t="s">
        <v>759</v>
      </c>
      <c r="B655" s="46" t="s">
        <v>285</v>
      </c>
      <c r="C655" s="39" t="s">
        <v>856</v>
      </c>
      <c r="D655" s="72">
        <v>693055639</v>
      </c>
      <c r="E655" s="73">
        <v>9195866887</v>
      </c>
      <c r="F655" s="39" t="s">
        <v>256</v>
      </c>
      <c r="G655" s="81">
        <v>33222</v>
      </c>
      <c r="H655" s="105" t="str">
        <f t="shared" si="50"/>
        <v>December</v>
      </c>
      <c r="I655" s="51">
        <f t="shared" ca="1" si="51"/>
        <v>25</v>
      </c>
      <c r="J655" s="52" t="s">
        <v>257</v>
      </c>
      <c r="K655" s="53">
        <v>53900</v>
      </c>
      <c r="L655" s="54">
        <v>5</v>
      </c>
    </row>
    <row r="656" spans="1:12" ht="15" x14ac:dyDescent="0.25">
      <c r="A656" s="39" t="s">
        <v>758</v>
      </c>
      <c r="B656" s="46" t="s">
        <v>285</v>
      </c>
      <c r="C656" s="39" t="s">
        <v>856</v>
      </c>
      <c r="D656" s="72">
        <v>351003584</v>
      </c>
      <c r="E656" s="73">
        <v>2524269081</v>
      </c>
      <c r="F656" s="39" t="s">
        <v>247</v>
      </c>
      <c r="G656" s="81">
        <v>36214</v>
      </c>
      <c r="H656" s="105" t="str">
        <f t="shared" si="50"/>
        <v>February</v>
      </c>
      <c r="I656" s="51">
        <f t="shared" ca="1" si="51"/>
        <v>17</v>
      </c>
      <c r="J656" s="52"/>
      <c r="K656" s="53">
        <v>53310</v>
      </c>
      <c r="L656" s="54">
        <v>5</v>
      </c>
    </row>
    <row r="657" spans="1:12" ht="15" x14ac:dyDescent="0.25">
      <c r="A657" s="39" t="s">
        <v>752</v>
      </c>
      <c r="B657" s="46" t="s">
        <v>266</v>
      </c>
      <c r="C657" s="39" t="s">
        <v>856</v>
      </c>
      <c r="D657" s="72">
        <v>878902154</v>
      </c>
      <c r="E657" s="73">
        <v>9191155509</v>
      </c>
      <c r="F657" s="39" t="s">
        <v>261</v>
      </c>
      <c r="G657" s="81">
        <v>33890</v>
      </c>
      <c r="H657" s="105" t="str">
        <f t="shared" si="50"/>
        <v>October</v>
      </c>
      <c r="I657" s="51">
        <f t="shared" ca="1" si="51"/>
        <v>24</v>
      </c>
      <c r="J657" s="52" t="s">
        <v>283</v>
      </c>
      <c r="K657" s="53">
        <v>25885</v>
      </c>
      <c r="L657" s="54">
        <v>5</v>
      </c>
    </row>
    <row r="658" spans="1:12" ht="15" x14ac:dyDescent="0.25">
      <c r="A658" s="39"/>
      <c r="B658" s="46"/>
      <c r="C658" s="111"/>
      <c r="D658" s="72"/>
      <c r="E658" s="73"/>
      <c r="F658" s="39"/>
      <c r="G658" s="81"/>
      <c r="H658" s="105"/>
      <c r="I658" s="51"/>
      <c r="J658" s="52"/>
      <c r="K658" s="53"/>
      <c r="L658" s="54"/>
    </row>
    <row r="659" spans="1:12" ht="15" x14ac:dyDescent="0.25">
      <c r="A659" s="39" t="s">
        <v>741</v>
      </c>
      <c r="B659" s="46" t="s">
        <v>266</v>
      </c>
      <c r="C659" s="39" t="s">
        <v>930</v>
      </c>
      <c r="D659" s="72">
        <v>626648632</v>
      </c>
      <c r="E659" s="73">
        <v>2526412482</v>
      </c>
      <c r="F659" s="39" t="s">
        <v>247</v>
      </c>
      <c r="G659" s="81">
        <v>37453</v>
      </c>
      <c r="H659" s="105" t="str">
        <f t="shared" ref="H659:H690" si="52">CHOOSE(MONTH(G659),"January","February","March","April","May","June","July","August","September","October","November","December")</f>
        <v>July</v>
      </c>
      <c r="I659" s="51">
        <f t="shared" ref="I659:I690" ca="1" si="53">DATEDIF(G659,TODAY(),"Y")</f>
        <v>14</v>
      </c>
      <c r="J659" s="52"/>
      <c r="K659" s="53">
        <v>49090</v>
      </c>
      <c r="L659" s="54">
        <v>4</v>
      </c>
    </row>
    <row r="660" spans="1:12" ht="15" x14ac:dyDescent="0.25">
      <c r="A660" s="39" t="s">
        <v>462</v>
      </c>
      <c r="B660" s="46" t="s">
        <v>266</v>
      </c>
      <c r="C660" s="39" t="s">
        <v>930</v>
      </c>
      <c r="D660" s="72">
        <v>120224342</v>
      </c>
      <c r="E660" s="73">
        <v>9198986390</v>
      </c>
      <c r="F660" s="39" t="s">
        <v>252</v>
      </c>
      <c r="G660" s="81">
        <v>36458</v>
      </c>
      <c r="H660" s="105" t="str">
        <f t="shared" si="52"/>
        <v>October</v>
      </c>
      <c r="I660" s="51">
        <f t="shared" ca="1" si="53"/>
        <v>17</v>
      </c>
      <c r="J660" s="52"/>
      <c r="K660" s="53">
        <v>32536</v>
      </c>
      <c r="L660" s="54">
        <v>2</v>
      </c>
    </row>
    <row r="661" spans="1:12" ht="15" x14ac:dyDescent="0.25">
      <c r="A661" s="39" t="s">
        <v>1030</v>
      </c>
      <c r="B661" s="46" t="s">
        <v>280</v>
      </c>
      <c r="C661" s="39" t="s">
        <v>930</v>
      </c>
      <c r="D661" s="72">
        <v>651999482</v>
      </c>
      <c r="E661" s="73">
        <v>2523014821</v>
      </c>
      <c r="F661" s="39" t="s">
        <v>256</v>
      </c>
      <c r="G661" s="81">
        <v>39679</v>
      </c>
      <c r="H661" s="105" t="str">
        <f t="shared" si="52"/>
        <v>August</v>
      </c>
      <c r="I661" s="51">
        <f t="shared" ca="1" si="53"/>
        <v>8</v>
      </c>
      <c r="J661" s="52" t="s">
        <v>257</v>
      </c>
      <c r="K661" s="53">
        <v>22820</v>
      </c>
      <c r="L661" s="54">
        <v>5</v>
      </c>
    </row>
    <row r="662" spans="1:12" ht="15" x14ac:dyDescent="0.25">
      <c r="A662" s="39" t="s">
        <v>508</v>
      </c>
      <c r="B662" s="46" t="s">
        <v>271</v>
      </c>
      <c r="C662" s="39" t="s">
        <v>930</v>
      </c>
      <c r="D662" s="72">
        <v>916944119</v>
      </c>
      <c r="E662" s="73">
        <v>2524907564</v>
      </c>
      <c r="F662" s="39" t="s">
        <v>247</v>
      </c>
      <c r="G662" s="108">
        <v>37099</v>
      </c>
      <c r="H662" s="105" t="str">
        <f t="shared" si="52"/>
        <v>July</v>
      </c>
      <c r="I662" s="51">
        <f t="shared" ca="1" si="53"/>
        <v>15</v>
      </c>
      <c r="J662" s="52"/>
      <c r="K662" s="53">
        <v>28270</v>
      </c>
      <c r="L662" s="54">
        <v>5</v>
      </c>
    </row>
    <row r="663" spans="1:12" ht="15" x14ac:dyDescent="0.25">
      <c r="A663" s="39" t="s">
        <v>467</v>
      </c>
      <c r="B663" s="46" t="s">
        <v>245</v>
      </c>
      <c r="C663" s="39" t="s">
        <v>930</v>
      </c>
      <c r="D663" s="72">
        <v>877574472</v>
      </c>
      <c r="E663" s="73">
        <v>2524100997</v>
      </c>
      <c r="F663" s="39" t="s">
        <v>247</v>
      </c>
      <c r="G663" s="81">
        <v>33401</v>
      </c>
      <c r="H663" s="105" t="str">
        <f t="shared" si="52"/>
        <v>June</v>
      </c>
      <c r="I663" s="51">
        <f t="shared" ca="1" si="53"/>
        <v>25</v>
      </c>
      <c r="J663" s="52"/>
      <c r="K663" s="53">
        <v>34680</v>
      </c>
      <c r="L663" s="54">
        <v>5</v>
      </c>
    </row>
    <row r="664" spans="1:12" ht="15" x14ac:dyDescent="0.25">
      <c r="A664" s="39" t="s">
        <v>536</v>
      </c>
      <c r="B664" s="46" t="s">
        <v>280</v>
      </c>
      <c r="C664" s="39" t="s">
        <v>930</v>
      </c>
      <c r="D664" s="72">
        <v>733358713</v>
      </c>
      <c r="E664" s="73">
        <v>9196648050</v>
      </c>
      <c r="F664" s="39" t="s">
        <v>247</v>
      </c>
      <c r="G664" s="81">
        <v>35338</v>
      </c>
      <c r="H664" s="105" t="str">
        <f t="shared" si="52"/>
        <v>September</v>
      </c>
      <c r="I664" s="51">
        <f t="shared" ca="1" si="53"/>
        <v>20</v>
      </c>
      <c r="J664" s="52"/>
      <c r="K664" s="53">
        <v>87830</v>
      </c>
      <c r="L664" s="54">
        <v>2</v>
      </c>
    </row>
    <row r="665" spans="1:12" ht="15" x14ac:dyDescent="0.25">
      <c r="A665" s="45" t="s">
        <v>255</v>
      </c>
      <c r="B665" s="46" t="s">
        <v>285</v>
      </c>
      <c r="C665" s="39" t="s">
        <v>930</v>
      </c>
      <c r="D665" s="72">
        <v>546546374</v>
      </c>
      <c r="E665" s="73">
        <v>9192727944</v>
      </c>
      <c r="F665" s="39" t="s">
        <v>261</v>
      </c>
      <c r="G665" s="81">
        <v>36462</v>
      </c>
      <c r="H665" s="105" t="str">
        <f t="shared" si="52"/>
        <v>October</v>
      </c>
      <c r="I665" s="51">
        <f t="shared" ca="1" si="53"/>
        <v>17</v>
      </c>
      <c r="J665" s="52" t="s">
        <v>283</v>
      </c>
      <c r="K665" s="53">
        <v>26185</v>
      </c>
      <c r="L665" s="54">
        <v>5</v>
      </c>
    </row>
    <row r="666" spans="1:12" ht="15" x14ac:dyDescent="0.25">
      <c r="A666" s="39" t="s">
        <v>815</v>
      </c>
      <c r="B666" s="46" t="s">
        <v>285</v>
      </c>
      <c r="C666" s="39" t="s">
        <v>930</v>
      </c>
      <c r="D666" s="72">
        <v>892040187</v>
      </c>
      <c r="E666" s="73">
        <v>2524877123</v>
      </c>
      <c r="F666" s="39" t="s">
        <v>256</v>
      </c>
      <c r="G666" s="81">
        <v>34286</v>
      </c>
      <c r="H666" s="105" t="str">
        <f t="shared" si="52"/>
        <v>November</v>
      </c>
      <c r="I666" s="51">
        <f t="shared" ca="1" si="53"/>
        <v>23</v>
      </c>
      <c r="J666" s="52" t="s">
        <v>283</v>
      </c>
      <c r="K666" s="53">
        <v>87220</v>
      </c>
      <c r="L666" s="54">
        <v>1</v>
      </c>
    </row>
    <row r="667" spans="1:12" ht="15" x14ac:dyDescent="0.25">
      <c r="A667" s="39" t="s">
        <v>645</v>
      </c>
      <c r="B667" s="46" t="s">
        <v>271</v>
      </c>
      <c r="C667" s="39" t="s">
        <v>930</v>
      </c>
      <c r="D667" s="72">
        <v>671823263</v>
      </c>
      <c r="E667" s="73">
        <v>2526718651</v>
      </c>
      <c r="F667" s="39" t="s">
        <v>256</v>
      </c>
      <c r="G667" s="81">
        <v>40637</v>
      </c>
      <c r="H667" s="105" t="str">
        <f t="shared" si="52"/>
        <v>April</v>
      </c>
      <c r="I667" s="51">
        <f t="shared" ca="1" si="53"/>
        <v>5</v>
      </c>
      <c r="J667" s="52" t="s">
        <v>257</v>
      </c>
      <c r="K667" s="53">
        <v>86640</v>
      </c>
      <c r="L667" s="54">
        <v>3</v>
      </c>
    </row>
    <row r="668" spans="1:12" ht="15" x14ac:dyDescent="0.25">
      <c r="A668" s="39" t="s">
        <v>883</v>
      </c>
      <c r="B668" s="46" t="s">
        <v>280</v>
      </c>
      <c r="C668" s="39" t="s">
        <v>930</v>
      </c>
      <c r="D668" s="72">
        <v>843299208</v>
      </c>
      <c r="E668" s="73">
        <v>9198631557</v>
      </c>
      <c r="F668" s="39" t="s">
        <v>261</v>
      </c>
      <c r="G668" s="81">
        <v>39535</v>
      </c>
      <c r="H668" s="105" t="str">
        <f t="shared" si="52"/>
        <v>March</v>
      </c>
      <c r="I668" s="51">
        <f t="shared" ca="1" si="53"/>
        <v>8</v>
      </c>
      <c r="J668" s="52" t="s">
        <v>276</v>
      </c>
      <c r="K668" s="53">
        <v>49080</v>
      </c>
      <c r="L668" s="54">
        <v>5</v>
      </c>
    </row>
    <row r="669" spans="1:12" ht="15" x14ac:dyDescent="0.25">
      <c r="A669" s="39" t="s">
        <v>884</v>
      </c>
      <c r="B669" s="46" t="s">
        <v>266</v>
      </c>
      <c r="C669" s="39" t="s">
        <v>930</v>
      </c>
      <c r="D669" s="72">
        <v>941937371</v>
      </c>
      <c r="E669" s="73">
        <v>9195060466</v>
      </c>
      <c r="F669" s="39" t="s">
        <v>256</v>
      </c>
      <c r="G669" s="81">
        <v>35776</v>
      </c>
      <c r="H669" s="105" t="str">
        <f t="shared" si="52"/>
        <v>December</v>
      </c>
      <c r="I669" s="51">
        <f t="shared" ca="1" si="53"/>
        <v>18</v>
      </c>
      <c r="J669" s="52" t="s">
        <v>257</v>
      </c>
      <c r="K669" s="53">
        <v>86320</v>
      </c>
      <c r="L669" s="54">
        <v>4</v>
      </c>
    </row>
    <row r="670" spans="1:12" ht="15" x14ac:dyDescent="0.25">
      <c r="A670" s="39" t="s">
        <v>721</v>
      </c>
      <c r="B670" s="46" t="s">
        <v>271</v>
      </c>
      <c r="C670" s="39" t="s">
        <v>930</v>
      </c>
      <c r="D670" s="72">
        <v>964255290</v>
      </c>
      <c r="E670" s="73">
        <v>9197446192</v>
      </c>
      <c r="F670" s="39" t="s">
        <v>256</v>
      </c>
      <c r="G670" s="81">
        <v>40018</v>
      </c>
      <c r="H670" s="105" t="str">
        <f t="shared" si="52"/>
        <v>July</v>
      </c>
      <c r="I670" s="51">
        <f t="shared" ca="1" si="53"/>
        <v>7</v>
      </c>
      <c r="J670" s="52" t="s">
        <v>283</v>
      </c>
      <c r="K670" s="53">
        <v>34990</v>
      </c>
      <c r="L670" s="54">
        <v>3</v>
      </c>
    </row>
    <row r="671" spans="1:12" ht="15" x14ac:dyDescent="0.25">
      <c r="A671" s="39" t="s">
        <v>446</v>
      </c>
      <c r="B671" s="46" t="s">
        <v>245</v>
      </c>
      <c r="C671" s="39" t="s">
        <v>930</v>
      </c>
      <c r="D671" s="72">
        <v>667745362</v>
      </c>
      <c r="E671" s="73">
        <v>2522952173</v>
      </c>
      <c r="F671" s="39" t="s">
        <v>247</v>
      </c>
      <c r="G671" s="81">
        <v>39728</v>
      </c>
      <c r="H671" s="105" t="str">
        <f t="shared" si="52"/>
        <v>October</v>
      </c>
      <c r="I671" s="51">
        <f t="shared" ca="1" si="53"/>
        <v>8</v>
      </c>
      <c r="J671" s="52"/>
      <c r="K671" s="53">
        <v>86040</v>
      </c>
      <c r="L671" s="54">
        <v>5</v>
      </c>
    </row>
    <row r="672" spans="1:12" ht="15" x14ac:dyDescent="0.25">
      <c r="A672" s="39" t="s">
        <v>693</v>
      </c>
      <c r="B672" s="46" t="s">
        <v>285</v>
      </c>
      <c r="C672" s="39" t="s">
        <v>930</v>
      </c>
      <c r="D672" s="72">
        <v>717503282</v>
      </c>
      <c r="E672" s="73">
        <v>2522400087</v>
      </c>
      <c r="F672" s="39" t="s">
        <v>247</v>
      </c>
      <c r="G672" s="81">
        <v>40523</v>
      </c>
      <c r="H672" s="105" t="str">
        <f t="shared" si="52"/>
        <v>December</v>
      </c>
      <c r="I672" s="51">
        <f t="shared" ca="1" si="53"/>
        <v>5</v>
      </c>
      <c r="J672" s="52"/>
      <c r="K672" s="53">
        <v>46570</v>
      </c>
      <c r="L672" s="54">
        <v>4</v>
      </c>
    </row>
    <row r="673" spans="1:12" ht="15" x14ac:dyDescent="0.25">
      <c r="A673" s="39" t="s">
        <v>566</v>
      </c>
      <c r="B673" s="46" t="s">
        <v>280</v>
      </c>
      <c r="C673" s="39" t="s">
        <v>930</v>
      </c>
      <c r="D673" s="72">
        <v>364525917</v>
      </c>
      <c r="E673" s="73">
        <v>2522787318</v>
      </c>
      <c r="F673" s="39" t="s">
        <v>256</v>
      </c>
      <c r="G673" s="81">
        <v>33978</v>
      </c>
      <c r="H673" s="105" t="str">
        <f t="shared" si="52"/>
        <v>January</v>
      </c>
      <c r="I673" s="51">
        <f t="shared" ca="1" si="53"/>
        <v>23</v>
      </c>
      <c r="J673" s="52" t="s">
        <v>283</v>
      </c>
      <c r="K673" s="53">
        <v>46410</v>
      </c>
      <c r="L673" s="54">
        <v>2</v>
      </c>
    </row>
    <row r="674" spans="1:12" ht="15" x14ac:dyDescent="0.25">
      <c r="A674" s="39" t="s">
        <v>576</v>
      </c>
      <c r="B674" s="46" t="s">
        <v>245</v>
      </c>
      <c r="C674" s="39" t="s">
        <v>930</v>
      </c>
      <c r="D674" s="72">
        <v>502580266</v>
      </c>
      <c r="E674" s="73">
        <v>9197103200</v>
      </c>
      <c r="F674" s="39" t="s">
        <v>252</v>
      </c>
      <c r="G674" s="81">
        <v>38646</v>
      </c>
      <c r="H674" s="105" t="str">
        <f t="shared" si="52"/>
        <v>October</v>
      </c>
      <c r="I674" s="51">
        <f t="shared" ca="1" si="53"/>
        <v>11</v>
      </c>
      <c r="J674" s="52"/>
      <c r="K674" s="53">
        <v>37344</v>
      </c>
      <c r="L674" s="54">
        <v>2</v>
      </c>
    </row>
    <row r="675" spans="1:12" ht="15" x14ac:dyDescent="0.25">
      <c r="A675" s="39" t="s">
        <v>664</v>
      </c>
      <c r="B675" s="46" t="s">
        <v>285</v>
      </c>
      <c r="C675" s="39" t="s">
        <v>930</v>
      </c>
      <c r="D675" s="72">
        <v>458734969</v>
      </c>
      <c r="E675" s="73">
        <v>9196354278</v>
      </c>
      <c r="F675" s="39" t="s">
        <v>256</v>
      </c>
      <c r="G675" s="81">
        <v>39728</v>
      </c>
      <c r="H675" s="105" t="str">
        <f t="shared" si="52"/>
        <v>October</v>
      </c>
      <c r="I675" s="51">
        <f t="shared" ca="1" si="53"/>
        <v>8</v>
      </c>
      <c r="J675" s="52" t="s">
        <v>257</v>
      </c>
      <c r="K675" s="53">
        <v>82370</v>
      </c>
      <c r="L675" s="54">
        <v>5</v>
      </c>
    </row>
    <row r="676" spans="1:12" ht="15" x14ac:dyDescent="0.25">
      <c r="A676" s="39" t="s">
        <v>295</v>
      </c>
      <c r="B676" s="46" t="s">
        <v>245</v>
      </c>
      <c r="C676" s="39" t="s">
        <v>930</v>
      </c>
      <c r="D676" s="72">
        <v>683670378</v>
      </c>
      <c r="E676" s="73">
        <v>9196259106</v>
      </c>
      <c r="F676" s="39" t="s">
        <v>256</v>
      </c>
      <c r="G676" s="81">
        <v>38347</v>
      </c>
      <c r="H676" s="105" t="str">
        <f t="shared" si="52"/>
        <v>December</v>
      </c>
      <c r="I676" s="51">
        <f t="shared" ca="1" si="53"/>
        <v>11</v>
      </c>
      <c r="J676" s="52" t="s">
        <v>283</v>
      </c>
      <c r="K676" s="53">
        <v>81340</v>
      </c>
      <c r="L676" s="54">
        <v>2</v>
      </c>
    </row>
    <row r="677" spans="1:12" ht="15" x14ac:dyDescent="0.25">
      <c r="A677" s="39" t="s">
        <v>298</v>
      </c>
      <c r="B677" s="46" t="s">
        <v>285</v>
      </c>
      <c r="C677" s="39" t="s">
        <v>930</v>
      </c>
      <c r="D677" s="72">
        <v>794814501</v>
      </c>
      <c r="E677" s="73">
        <v>2525604891</v>
      </c>
      <c r="F677" s="39" t="s">
        <v>247</v>
      </c>
      <c r="G677" s="81">
        <v>40235</v>
      </c>
      <c r="H677" s="105" t="str">
        <f t="shared" si="52"/>
        <v>February</v>
      </c>
      <c r="I677" s="51">
        <f t="shared" ca="1" si="53"/>
        <v>6</v>
      </c>
      <c r="J677" s="52"/>
      <c r="K677" s="53">
        <v>80729</v>
      </c>
      <c r="L677" s="54">
        <v>3</v>
      </c>
    </row>
    <row r="678" spans="1:12" ht="15" x14ac:dyDescent="0.25">
      <c r="A678" s="39" t="s">
        <v>520</v>
      </c>
      <c r="B678" s="46" t="s">
        <v>285</v>
      </c>
      <c r="C678" s="39" t="s">
        <v>930</v>
      </c>
      <c r="D678" s="72">
        <v>324069262</v>
      </c>
      <c r="E678" s="73">
        <v>2525459665</v>
      </c>
      <c r="F678" s="39" t="s">
        <v>247</v>
      </c>
      <c r="G678" s="81">
        <v>34534</v>
      </c>
      <c r="H678" s="105" t="str">
        <f t="shared" si="52"/>
        <v>July</v>
      </c>
      <c r="I678" s="51">
        <f t="shared" ca="1" si="53"/>
        <v>22</v>
      </c>
      <c r="J678" s="52"/>
      <c r="K678" s="53">
        <v>45105</v>
      </c>
      <c r="L678" s="54">
        <v>1</v>
      </c>
    </row>
    <row r="679" spans="1:12" ht="15" x14ac:dyDescent="0.25">
      <c r="A679" s="39" t="s">
        <v>938</v>
      </c>
      <c r="B679" s="46" t="s">
        <v>285</v>
      </c>
      <c r="C679" s="39" t="s">
        <v>930</v>
      </c>
      <c r="D679" s="72">
        <v>483483618</v>
      </c>
      <c r="E679" s="73">
        <v>2526459263</v>
      </c>
      <c r="F679" s="39" t="s">
        <v>256</v>
      </c>
      <c r="G679" s="81">
        <v>35137</v>
      </c>
      <c r="H679" s="105" t="str">
        <f t="shared" si="52"/>
        <v>March</v>
      </c>
      <c r="I679" s="51">
        <f t="shared" ca="1" si="53"/>
        <v>20</v>
      </c>
      <c r="J679" s="52" t="s">
        <v>283</v>
      </c>
      <c r="K679" s="53">
        <v>33590</v>
      </c>
      <c r="L679" s="54">
        <v>5</v>
      </c>
    </row>
    <row r="680" spans="1:12" ht="15" x14ac:dyDescent="0.25">
      <c r="A680" s="39" t="s">
        <v>986</v>
      </c>
      <c r="B680" s="46" t="s">
        <v>245</v>
      </c>
      <c r="C680" s="39" t="s">
        <v>930</v>
      </c>
      <c r="D680" s="72">
        <v>210491464</v>
      </c>
      <c r="E680" s="73">
        <v>9198405552</v>
      </c>
      <c r="F680" s="39" t="s">
        <v>256</v>
      </c>
      <c r="G680" s="81">
        <v>39602</v>
      </c>
      <c r="H680" s="105" t="str">
        <f t="shared" si="52"/>
        <v>June</v>
      </c>
      <c r="I680" s="51">
        <f t="shared" ca="1" si="53"/>
        <v>8</v>
      </c>
      <c r="J680" s="52" t="s">
        <v>257</v>
      </c>
      <c r="K680" s="53">
        <v>79380</v>
      </c>
      <c r="L680" s="54">
        <v>5</v>
      </c>
    </row>
    <row r="681" spans="1:12" ht="15" x14ac:dyDescent="0.25">
      <c r="A681" s="39" t="s">
        <v>284</v>
      </c>
      <c r="B681" s="46" t="s">
        <v>271</v>
      </c>
      <c r="C681" s="39" t="s">
        <v>930</v>
      </c>
      <c r="D681" s="72">
        <v>418701946</v>
      </c>
      <c r="E681" s="73">
        <v>2524141191</v>
      </c>
      <c r="F681" s="39" t="s">
        <v>261</v>
      </c>
      <c r="G681" s="81">
        <v>34154</v>
      </c>
      <c r="H681" s="105" t="str">
        <f t="shared" si="52"/>
        <v>July</v>
      </c>
      <c r="I681" s="51">
        <f t="shared" ca="1" si="53"/>
        <v>23</v>
      </c>
      <c r="J681" s="52" t="s">
        <v>257</v>
      </c>
      <c r="K681" s="53">
        <v>49545</v>
      </c>
      <c r="L681" s="54">
        <v>2</v>
      </c>
    </row>
    <row r="682" spans="1:12" ht="15" x14ac:dyDescent="0.25">
      <c r="A682" s="39" t="s">
        <v>517</v>
      </c>
      <c r="B682" s="46" t="s">
        <v>251</v>
      </c>
      <c r="C682" s="39" t="s">
        <v>930</v>
      </c>
      <c r="D682" s="72">
        <v>759471070</v>
      </c>
      <c r="E682" s="73">
        <v>2525402828</v>
      </c>
      <c r="F682" s="39" t="s">
        <v>256</v>
      </c>
      <c r="G682" s="81">
        <v>37009</v>
      </c>
      <c r="H682" s="105" t="str">
        <f t="shared" si="52"/>
        <v>April</v>
      </c>
      <c r="I682" s="51">
        <f t="shared" ca="1" si="53"/>
        <v>15</v>
      </c>
      <c r="J682" s="52" t="s">
        <v>283</v>
      </c>
      <c r="K682" s="53">
        <v>78710</v>
      </c>
      <c r="L682" s="54">
        <v>2</v>
      </c>
    </row>
    <row r="683" spans="1:12" ht="15" x14ac:dyDescent="0.25">
      <c r="A683" s="39" t="s">
        <v>1059</v>
      </c>
      <c r="B683" s="46" t="s">
        <v>280</v>
      </c>
      <c r="C683" s="39" t="s">
        <v>930</v>
      </c>
      <c r="D683" s="72">
        <v>641962645</v>
      </c>
      <c r="E683" s="73">
        <v>9196965088</v>
      </c>
      <c r="F683" s="39" t="s">
        <v>247</v>
      </c>
      <c r="G683" s="81">
        <v>34135</v>
      </c>
      <c r="H683" s="105" t="str">
        <f t="shared" si="52"/>
        <v>June</v>
      </c>
      <c r="I683" s="51">
        <f t="shared" ca="1" si="53"/>
        <v>23</v>
      </c>
      <c r="J683" s="52"/>
      <c r="K683" s="53">
        <v>78590</v>
      </c>
      <c r="L683" s="54">
        <v>1</v>
      </c>
    </row>
    <row r="684" spans="1:12" ht="15" x14ac:dyDescent="0.25">
      <c r="A684" s="39" t="s">
        <v>981</v>
      </c>
      <c r="B684" s="46" t="s">
        <v>251</v>
      </c>
      <c r="C684" s="39" t="s">
        <v>930</v>
      </c>
      <c r="D684" s="72">
        <v>900160539</v>
      </c>
      <c r="E684" s="73">
        <v>2522749909</v>
      </c>
      <c r="F684" s="39" t="s">
        <v>261</v>
      </c>
      <c r="G684" s="81">
        <v>36365</v>
      </c>
      <c r="H684" s="105" t="str">
        <f t="shared" si="52"/>
        <v>July</v>
      </c>
      <c r="I684" s="51">
        <f t="shared" ca="1" si="53"/>
        <v>17</v>
      </c>
      <c r="J684" s="52" t="s">
        <v>267</v>
      </c>
      <c r="K684" s="53">
        <v>19825</v>
      </c>
      <c r="L684" s="54">
        <v>2</v>
      </c>
    </row>
    <row r="685" spans="1:12" ht="15" x14ac:dyDescent="0.25">
      <c r="A685" s="39" t="s">
        <v>598</v>
      </c>
      <c r="B685" s="46" t="s">
        <v>285</v>
      </c>
      <c r="C685" s="39" t="s">
        <v>930</v>
      </c>
      <c r="D685" s="72">
        <v>277423593</v>
      </c>
      <c r="E685" s="73">
        <v>9195790921</v>
      </c>
      <c r="F685" s="39" t="s">
        <v>261</v>
      </c>
      <c r="G685" s="81">
        <v>33391</v>
      </c>
      <c r="H685" s="105" t="str">
        <f t="shared" si="52"/>
        <v>June</v>
      </c>
      <c r="I685" s="51">
        <f t="shared" ca="1" si="53"/>
        <v>25</v>
      </c>
      <c r="J685" s="52" t="s">
        <v>283</v>
      </c>
      <c r="K685" s="53">
        <v>13455</v>
      </c>
      <c r="L685" s="54">
        <v>2</v>
      </c>
    </row>
    <row r="686" spans="1:12" ht="15" x14ac:dyDescent="0.25">
      <c r="A686" s="39" t="s">
        <v>395</v>
      </c>
      <c r="B686" s="46" t="s">
        <v>285</v>
      </c>
      <c r="C686" s="39" t="s">
        <v>930</v>
      </c>
      <c r="D686" s="72">
        <v>101829876</v>
      </c>
      <c r="E686" s="73">
        <v>2522552565</v>
      </c>
      <c r="F686" s="39" t="s">
        <v>252</v>
      </c>
      <c r="G686" s="81">
        <v>35247</v>
      </c>
      <c r="H686" s="105" t="str">
        <f t="shared" si="52"/>
        <v>July</v>
      </c>
      <c r="I686" s="51">
        <f t="shared" ca="1" si="53"/>
        <v>20</v>
      </c>
      <c r="J686" s="52"/>
      <c r="K686" s="53">
        <v>33752</v>
      </c>
      <c r="L686" s="54">
        <v>3</v>
      </c>
    </row>
    <row r="687" spans="1:12" ht="15" x14ac:dyDescent="0.25">
      <c r="A687" s="39" t="s">
        <v>567</v>
      </c>
      <c r="B687" s="46" t="s">
        <v>285</v>
      </c>
      <c r="C687" s="39" t="s">
        <v>930</v>
      </c>
      <c r="D687" s="72">
        <v>296641985</v>
      </c>
      <c r="E687" s="73">
        <v>2528217409</v>
      </c>
      <c r="F687" s="39" t="s">
        <v>256</v>
      </c>
      <c r="G687" s="81">
        <v>35627</v>
      </c>
      <c r="H687" s="105" t="str">
        <f t="shared" si="52"/>
        <v>July</v>
      </c>
      <c r="I687" s="51">
        <f t="shared" ca="1" si="53"/>
        <v>19</v>
      </c>
      <c r="J687" s="52" t="s">
        <v>283</v>
      </c>
      <c r="K687" s="53">
        <v>41380</v>
      </c>
      <c r="L687" s="54">
        <v>2</v>
      </c>
    </row>
    <row r="688" spans="1:12" ht="15" x14ac:dyDescent="0.25">
      <c r="A688" s="39" t="s">
        <v>366</v>
      </c>
      <c r="B688" s="46" t="s">
        <v>280</v>
      </c>
      <c r="C688" s="39" t="s">
        <v>930</v>
      </c>
      <c r="D688" s="72">
        <v>311309049</v>
      </c>
      <c r="E688" s="73">
        <v>2527560634</v>
      </c>
      <c r="F688" s="39" t="s">
        <v>256</v>
      </c>
      <c r="G688" s="81">
        <v>36243</v>
      </c>
      <c r="H688" s="105" t="str">
        <f t="shared" si="52"/>
        <v>March</v>
      </c>
      <c r="I688" s="51">
        <f t="shared" ca="1" si="53"/>
        <v>17</v>
      </c>
      <c r="J688" s="52" t="s">
        <v>276</v>
      </c>
      <c r="K688" s="53">
        <v>77680</v>
      </c>
      <c r="L688" s="54">
        <v>3</v>
      </c>
    </row>
    <row r="689" spans="1:12" ht="15" x14ac:dyDescent="0.25">
      <c r="A689" s="39" t="s">
        <v>463</v>
      </c>
      <c r="B689" s="46" t="s">
        <v>266</v>
      </c>
      <c r="C689" s="39" t="s">
        <v>930</v>
      </c>
      <c r="D689" s="72">
        <v>592709648</v>
      </c>
      <c r="E689" s="73">
        <v>9191797370</v>
      </c>
      <c r="F689" s="39" t="s">
        <v>247</v>
      </c>
      <c r="G689" s="81">
        <v>37065</v>
      </c>
      <c r="H689" s="105" t="str">
        <f t="shared" si="52"/>
        <v>June</v>
      </c>
      <c r="I689" s="51">
        <f t="shared" ca="1" si="53"/>
        <v>15</v>
      </c>
      <c r="J689" s="52"/>
      <c r="K689" s="53">
        <v>77136</v>
      </c>
      <c r="L689" s="54">
        <v>5</v>
      </c>
    </row>
    <row r="690" spans="1:12" ht="15" x14ac:dyDescent="0.25">
      <c r="A690" s="39" t="s">
        <v>746</v>
      </c>
      <c r="B690" s="46" t="s">
        <v>266</v>
      </c>
      <c r="C690" s="39" t="s">
        <v>930</v>
      </c>
      <c r="D690" s="72">
        <v>147683641</v>
      </c>
      <c r="E690" s="73">
        <v>9191657646</v>
      </c>
      <c r="F690" s="39" t="s">
        <v>247</v>
      </c>
      <c r="G690" s="109">
        <v>40334</v>
      </c>
      <c r="H690" s="105" t="str">
        <f t="shared" si="52"/>
        <v>June</v>
      </c>
      <c r="I690" s="51">
        <f t="shared" ca="1" si="53"/>
        <v>6</v>
      </c>
      <c r="J690" s="52"/>
      <c r="K690" s="53">
        <v>47280</v>
      </c>
      <c r="L690" s="54">
        <v>1</v>
      </c>
    </row>
    <row r="691" spans="1:12" ht="15" x14ac:dyDescent="0.25">
      <c r="A691" s="39" t="s">
        <v>996</v>
      </c>
      <c r="B691" s="46" t="s">
        <v>280</v>
      </c>
      <c r="C691" s="39" t="s">
        <v>930</v>
      </c>
      <c r="D691" s="72">
        <v>749768847</v>
      </c>
      <c r="E691" s="73">
        <v>2528552110</v>
      </c>
      <c r="F691" s="39" t="s">
        <v>247</v>
      </c>
      <c r="G691" s="81">
        <v>35280</v>
      </c>
      <c r="H691" s="105" t="str">
        <f t="shared" ref="H691:H722" si="54">CHOOSE(MONTH(G691),"January","February","March","April","May","June","July","August","September","October","November","December")</f>
        <v>August</v>
      </c>
      <c r="I691" s="51">
        <f t="shared" ref="I691:I722" ca="1" si="55">DATEDIF(G691,TODAY(),"Y")</f>
        <v>20</v>
      </c>
      <c r="J691" s="52"/>
      <c r="K691" s="53">
        <v>41770</v>
      </c>
      <c r="L691" s="54">
        <v>5</v>
      </c>
    </row>
    <row r="692" spans="1:12" ht="15" x14ac:dyDescent="0.25">
      <c r="A692" s="39" t="s">
        <v>859</v>
      </c>
      <c r="B692" s="46" t="s">
        <v>251</v>
      </c>
      <c r="C692" s="39" t="s">
        <v>930</v>
      </c>
      <c r="D692" s="72">
        <v>688769770</v>
      </c>
      <c r="E692" s="73">
        <v>9192416398</v>
      </c>
      <c r="F692" s="39" t="s">
        <v>256</v>
      </c>
      <c r="G692" s="81">
        <v>38626</v>
      </c>
      <c r="H692" s="105" t="str">
        <f t="shared" si="54"/>
        <v>October</v>
      </c>
      <c r="I692" s="51">
        <f t="shared" ca="1" si="55"/>
        <v>11</v>
      </c>
      <c r="J692" s="52" t="s">
        <v>257</v>
      </c>
      <c r="K692" s="53">
        <v>44530</v>
      </c>
      <c r="L692" s="54">
        <v>2</v>
      </c>
    </row>
    <row r="693" spans="1:12" ht="15" x14ac:dyDescent="0.25">
      <c r="A693" s="39" t="s">
        <v>452</v>
      </c>
      <c r="B693" s="46" t="s">
        <v>285</v>
      </c>
      <c r="C693" s="39" t="s">
        <v>930</v>
      </c>
      <c r="D693" s="72">
        <v>763182349</v>
      </c>
      <c r="E693" s="73">
        <v>2527780776</v>
      </c>
      <c r="F693" s="39" t="s">
        <v>247</v>
      </c>
      <c r="G693" s="81">
        <v>34126</v>
      </c>
      <c r="H693" s="105" t="str">
        <f t="shared" si="54"/>
        <v>June</v>
      </c>
      <c r="I693" s="51">
        <f t="shared" ca="1" si="55"/>
        <v>23</v>
      </c>
      <c r="J693" s="52"/>
      <c r="K693" s="53">
        <v>75550</v>
      </c>
      <c r="L693" s="54">
        <v>3</v>
      </c>
    </row>
    <row r="694" spans="1:12" ht="15" x14ac:dyDescent="0.25">
      <c r="A694" s="39" t="s">
        <v>540</v>
      </c>
      <c r="B694" s="46" t="s">
        <v>266</v>
      </c>
      <c r="C694" s="39" t="s">
        <v>930</v>
      </c>
      <c r="D694" s="72">
        <v>758001890</v>
      </c>
      <c r="E694" s="73">
        <v>2521202348</v>
      </c>
      <c r="F694" s="39" t="s">
        <v>261</v>
      </c>
      <c r="G694" s="81">
        <v>35297</v>
      </c>
      <c r="H694" s="105" t="str">
        <f t="shared" si="54"/>
        <v>August</v>
      </c>
      <c r="I694" s="51">
        <f t="shared" ca="1" si="55"/>
        <v>20</v>
      </c>
      <c r="J694" s="52" t="s">
        <v>283</v>
      </c>
      <c r="K694" s="53">
        <v>38105</v>
      </c>
      <c r="L694" s="54">
        <v>2</v>
      </c>
    </row>
    <row r="695" spans="1:12" ht="15" x14ac:dyDescent="0.25">
      <c r="A695" s="39" t="s">
        <v>982</v>
      </c>
      <c r="B695" s="46" t="s">
        <v>285</v>
      </c>
      <c r="C695" s="39" t="s">
        <v>930</v>
      </c>
      <c r="D695" s="72">
        <v>904497673</v>
      </c>
      <c r="E695" s="73">
        <v>2521277028</v>
      </c>
      <c r="F695" s="39" t="s">
        <v>247</v>
      </c>
      <c r="G695" s="81">
        <v>33144</v>
      </c>
      <c r="H695" s="105" t="str">
        <f t="shared" si="54"/>
        <v>September</v>
      </c>
      <c r="I695" s="51">
        <f t="shared" ca="1" si="55"/>
        <v>26</v>
      </c>
      <c r="J695" s="52"/>
      <c r="K695" s="53">
        <v>23340</v>
      </c>
      <c r="L695" s="54">
        <v>4</v>
      </c>
    </row>
    <row r="696" spans="1:12" ht="15" x14ac:dyDescent="0.25">
      <c r="A696" s="39" t="s">
        <v>1011</v>
      </c>
      <c r="B696" s="46" t="s">
        <v>280</v>
      </c>
      <c r="C696" s="39" t="s">
        <v>930</v>
      </c>
      <c r="D696" s="72">
        <v>658842625</v>
      </c>
      <c r="E696" s="73">
        <v>9193788281</v>
      </c>
      <c r="F696" s="39" t="s">
        <v>261</v>
      </c>
      <c r="G696" s="81">
        <v>36053</v>
      </c>
      <c r="H696" s="105" t="str">
        <f t="shared" si="54"/>
        <v>September</v>
      </c>
      <c r="I696" s="51">
        <f t="shared" ca="1" si="55"/>
        <v>18</v>
      </c>
      <c r="J696" s="52" t="s">
        <v>276</v>
      </c>
      <c r="K696" s="53">
        <v>46105</v>
      </c>
      <c r="L696" s="54">
        <v>5</v>
      </c>
    </row>
    <row r="697" spans="1:12" ht="15" x14ac:dyDescent="0.25">
      <c r="A697" s="39" t="s">
        <v>442</v>
      </c>
      <c r="B697" s="46" t="s">
        <v>271</v>
      </c>
      <c r="C697" s="39" t="s">
        <v>930</v>
      </c>
      <c r="D697" s="72">
        <v>318723704</v>
      </c>
      <c r="E697" s="73">
        <v>9196526117</v>
      </c>
      <c r="F697" s="39" t="s">
        <v>256</v>
      </c>
      <c r="G697" s="81">
        <v>34425</v>
      </c>
      <c r="H697" s="105" t="str">
        <f t="shared" si="54"/>
        <v>April</v>
      </c>
      <c r="I697" s="51">
        <f t="shared" ca="1" si="55"/>
        <v>22</v>
      </c>
      <c r="J697" s="52" t="s">
        <v>283</v>
      </c>
      <c r="K697" s="53">
        <v>73850</v>
      </c>
      <c r="L697" s="54">
        <v>2</v>
      </c>
    </row>
    <row r="698" spans="1:12" ht="15" x14ac:dyDescent="0.25">
      <c r="A698" s="39" t="s">
        <v>297</v>
      </c>
      <c r="B698" s="46" t="s">
        <v>285</v>
      </c>
      <c r="C698" s="39" t="s">
        <v>930</v>
      </c>
      <c r="D698" s="72">
        <v>894855096</v>
      </c>
      <c r="E698" s="73">
        <v>9193936198</v>
      </c>
      <c r="F698" s="39" t="s">
        <v>261</v>
      </c>
      <c r="G698" s="81">
        <v>35466</v>
      </c>
      <c r="H698" s="105" t="str">
        <f t="shared" si="54"/>
        <v>February</v>
      </c>
      <c r="I698" s="51">
        <f t="shared" ca="1" si="55"/>
        <v>19</v>
      </c>
      <c r="J698" s="52" t="s">
        <v>262</v>
      </c>
      <c r="K698" s="53">
        <v>37660</v>
      </c>
      <c r="L698" s="54">
        <v>4</v>
      </c>
    </row>
    <row r="699" spans="1:12" ht="15" x14ac:dyDescent="0.25">
      <c r="A699" s="39" t="s">
        <v>350</v>
      </c>
      <c r="B699" s="46" t="s">
        <v>285</v>
      </c>
      <c r="C699" s="39" t="s">
        <v>930</v>
      </c>
      <c r="D699" s="72">
        <v>186346711</v>
      </c>
      <c r="E699" s="73">
        <v>9194900514</v>
      </c>
      <c r="F699" s="39" t="s">
        <v>256</v>
      </c>
      <c r="G699" s="81">
        <v>36619</v>
      </c>
      <c r="H699" s="105" t="str">
        <f t="shared" si="54"/>
        <v>April</v>
      </c>
      <c r="I699" s="51">
        <f t="shared" ca="1" si="55"/>
        <v>16</v>
      </c>
      <c r="J699" s="52" t="s">
        <v>262</v>
      </c>
      <c r="K699" s="53">
        <v>71970</v>
      </c>
      <c r="L699" s="54">
        <v>4</v>
      </c>
    </row>
    <row r="700" spans="1:12" ht="15" x14ac:dyDescent="0.25">
      <c r="A700" s="39" t="s">
        <v>308</v>
      </c>
      <c r="B700" s="46" t="s">
        <v>251</v>
      </c>
      <c r="C700" s="39" t="s">
        <v>930</v>
      </c>
      <c r="D700" s="72">
        <v>799754905</v>
      </c>
      <c r="E700" s="73">
        <v>2526757210</v>
      </c>
      <c r="F700" s="39" t="s">
        <v>256</v>
      </c>
      <c r="G700" s="81">
        <v>35307</v>
      </c>
      <c r="H700" s="105" t="str">
        <f t="shared" si="54"/>
        <v>August</v>
      </c>
      <c r="I700" s="51">
        <f t="shared" ca="1" si="55"/>
        <v>20</v>
      </c>
      <c r="J700" s="52" t="s">
        <v>257</v>
      </c>
      <c r="K700" s="53">
        <v>31690</v>
      </c>
      <c r="L700" s="54">
        <v>4</v>
      </c>
    </row>
    <row r="701" spans="1:12" ht="15" x14ac:dyDescent="0.25">
      <c r="A701" s="39" t="s">
        <v>289</v>
      </c>
      <c r="B701" s="46" t="s">
        <v>285</v>
      </c>
      <c r="C701" s="39" t="s">
        <v>930</v>
      </c>
      <c r="D701" s="72">
        <v>862698919</v>
      </c>
      <c r="E701" s="73">
        <v>2522780847</v>
      </c>
      <c r="F701" s="39" t="s">
        <v>256</v>
      </c>
      <c r="G701" s="81">
        <v>38328</v>
      </c>
      <c r="H701" s="105" t="str">
        <f t="shared" si="54"/>
        <v>December</v>
      </c>
      <c r="I701" s="51">
        <f t="shared" ca="1" si="55"/>
        <v>11</v>
      </c>
      <c r="J701" s="52" t="s">
        <v>262</v>
      </c>
      <c r="K701" s="53">
        <v>48280</v>
      </c>
      <c r="L701" s="54">
        <v>4</v>
      </c>
    </row>
    <row r="702" spans="1:12" ht="15" x14ac:dyDescent="0.25">
      <c r="A702" s="39" t="s">
        <v>487</v>
      </c>
      <c r="B702" s="46" t="s">
        <v>266</v>
      </c>
      <c r="C702" s="39" t="s">
        <v>930</v>
      </c>
      <c r="D702" s="72">
        <v>929694686</v>
      </c>
      <c r="E702" s="73">
        <v>9194483888</v>
      </c>
      <c r="F702" s="39" t="s">
        <v>256</v>
      </c>
      <c r="G702" s="103">
        <v>40536</v>
      </c>
      <c r="H702" s="105" t="str">
        <f t="shared" si="54"/>
        <v>December</v>
      </c>
      <c r="I702" s="51">
        <f t="shared" ca="1" si="55"/>
        <v>5</v>
      </c>
      <c r="J702" s="52" t="s">
        <v>283</v>
      </c>
      <c r="K702" s="53">
        <v>70730</v>
      </c>
      <c r="L702" s="54">
        <v>1</v>
      </c>
    </row>
    <row r="703" spans="1:12" ht="15" x14ac:dyDescent="0.25">
      <c r="A703" s="39" t="s">
        <v>643</v>
      </c>
      <c r="B703" s="46" t="s">
        <v>245</v>
      </c>
      <c r="C703" s="39" t="s">
        <v>930</v>
      </c>
      <c r="D703" s="72">
        <v>610340294</v>
      </c>
      <c r="E703" s="73">
        <v>9198443818</v>
      </c>
      <c r="F703" s="39" t="s">
        <v>247</v>
      </c>
      <c r="G703" s="81">
        <v>33820</v>
      </c>
      <c r="H703" s="105" t="str">
        <f t="shared" si="54"/>
        <v>August</v>
      </c>
      <c r="I703" s="51">
        <f t="shared" ca="1" si="55"/>
        <v>24</v>
      </c>
      <c r="J703" s="52"/>
      <c r="K703" s="53">
        <v>70300</v>
      </c>
      <c r="L703" s="54">
        <v>3</v>
      </c>
    </row>
    <row r="704" spans="1:12" ht="15" x14ac:dyDescent="0.25">
      <c r="A704" s="39" t="s">
        <v>919</v>
      </c>
      <c r="B704" s="46" t="s">
        <v>285</v>
      </c>
      <c r="C704" s="39" t="s">
        <v>930</v>
      </c>
      <c r="D704" s="72">
        <v>240241467</v>
      </c>
      <c r="E704" s="73">
        <v>2524914916</v>
      </c>
      <c r="F704" s="39" t="s">
        <v>252</v>
      </c>
      <c r="G704" s="81">
        <v>35576</v>
      </c>
      <c r="H704" s="105" t="str">
        <f t="shared" si="54"/>
        <v>May</v>
      </c>
      <c r="I704" s="51">
        <f t="shared" ca="1" si="55"/>
        <v>19</v>
      </c>
      <c r="J704" s="52"/>
      <c r="K704" s="53">
        <v>28768</v>
      </c>
      <c r="L704" s="54">
        <v>3</v>
      </c>
    </row>
    <row r="705" spans="1:12" ht="15" x14ac:dyDescent="0.25">
      <c r="A705" s="39" t="s">
        <v>777</v>
      </c>
      <c r="B705" s="46" t="s">
        <v>280</v>
      </c>
      <c r="C705" s="39" t="s">
        <v>930</v>
      </c>
      <c r="D705" s="72">
        <v>426812736</v>
      </c>
      <c r="E705" s="73">
        <v>9198399625</v>
      </c>
      <c r="F705" s="39" t="s">
        <v>247</v>
      </c>
      <c r="G705" s="81">
        <v>34159</v>
      </c>
      <c r="H705" s="105" t="str">
        <f t="shared" si="54"/>
        <v>July</v>
      </c>
      <c r="I705" s="51">
        <f t="shared" ca="1" si="55"/>
        <v>23</v>
      </c>
      <c r="J705" s="52"/>
      <c r="K705" s="53">
        <v>35240</v>
      </c>
      <c r="L705" s="54">
        <v>3</v>
      </c>
    </row>
    <row r="706" spans="1:12" ht="15" x14ac:dyDescent="0.25">
      <c r="A706" s="39" t="s">
        <v>771</v>
      </c>
      <c r="B706" s="46" t="s">
        <v>285</v>
      </c>
      <c r="C706" s="39" t="s">
        <v>930</v>
      </c>
      <c r="D706" s="72">
        <v>656572514</v>
      </c>
      <c r="E706" s="73">
        <v>9193679666</v>
      </c>
      <c r="F706" s="39" t="s">
        <v>247</v>
      </c>
      <c r="G706" s="81">
        <v>33974</v>
      </c>
      <c r="H706" s="105" t="str">
        <f t="shared" si="54"/>
        <v>January</v>
      </c>
      <c r="I706" s="51">
        <f t="shared" ca="1" si="55"/>
        <v>23</v>
      </c>
      <c r="J706" s="52"/>
      <c r="K706" s="53">
        <v>70150</v>
      </c>
      <c r="L706" s="54">
        <v>2</v>
      </c>
    </row>
    <row r="707" spans="1:12" ht="15" x14ac:dyDescent="0.25">
      <c r="A707" s="39" t="s">
        <v>373</v>
      </c>
      <c r="B707" s="46" t="s">
        <v>271</v>
      </c>
      <c r="C707" s="39" t="s">
        <v>930</v>
      </c>
      <c r="D707" s="72">
        <v>855663308</v>
      </c>
      <c r="E707" s="73">
        <v>9195797109</v>
      </c>
      <c r="F707" s="39" t="s">
        <v>256</v>
      </c>
      <c r="G707" s="81">
        <v>34670</v>
      </c>
      <c r="H707" s="105" t="str">
        <f t="shared" si="54"/>
        <v>December</v>
      </c>
      <c r="I707" s="51">
        <f t="shared" ca="1" si="55"/>
        <v>21</v>
      </c>
      <c r="J707" s="52" t="s">
        <v>257</v>
      </c>
      <c r="K707" s="53">
        <v>69510</v>
      </c>
      <c r="L707" s="54">
        <v>5</v>
      </c>
    </row>
    <row r="708" spans="1:12" ht="15" x14ac:dyDescent="0.25">
      <c r="A708" s="39" t="s">
        <v>570</v>
      </c>
      <c r="B708" s="46" t="s">
        <v>251</v>
      </c>
      <c r="C708" s="39" t="s">
        <v>930</v>
      </c>
      <c r="D708" s="72">
        <v>332494481</v>
      </c>
      <c r="E708" s="73">
        <v>9192094386</v>
      </c>
      <c r="F708" s="39" t="s">
        <v>256</v>
      </c>
      <c r="G708" s="81">
        <v>36080</v>
      </c>
      <c r="H708" s="105" t="str">
        <f t="shared" si="54"/>
        <v>October</v>
      </c>
      <c r="I708" s="51">
        <f t="shared" ca="1" si="55"/>
        <v>18</v>
      </c>
      <c r="J708" s="52" t="s">
        <v>283</v>
      </c>
      <c r="K708" s="53">
        <v>48410</v>
      </c>
      <c r="L708" s="54">
        <v>5</v>
      </c>
    </row>
    <row r="709" spans="1:12" ht="15" x14ac:dyDescent="0.25">
      <c r="A709" s="39" t="s">
        <v>403</v>
      </c>
      <c r="B709" s="46" t="s">
        <v>280</v>
      </c>
      <c r="C709" s="39" t="s">
        <v>930</v>
      </c>
      <c r="D709" s="72">
        <v>230192897</v>
      </c>
      <c r="E709" s="73">
        <v>2525261239</v>
      </c>
      <c r="F709" s="39" t="s">
        <v>256</v>
      </c>
      <c r="G709" s="81">
        <v>39441</v>
      </c>
      <c r="H709" s="105" t="str">
        <f t="shared" si="54"/>
        <v>December</v>
      </c>
      <c r="I709" s="51">
        <f t="shared" ca="1" si="55"/>
        <v>8</v>
      </c>
      <c r="J709" s="52" t="s">
        <v>262</v>
      </c>
      <c r="K709" s="53">
        <v>68860</v>
      </c>
      <c r="L709" s="54">
        <v>2</v>
      </c>
    </row>
    <row r="710" spans="1:12" ht="15" x14ac:dyDescent="0.25">
      <c r="A710" s="39" t="s">
        <v>711</v>
      </c>
      <c r="B710" s="46" t="s">
        <v>251</v>
      </c>
      <c r="C710" s="39" t="s">
        <v>930</v>
      </c>
      <c r="D710" s="72">
        <v>995590510</v>
      </c>
      <c r="E710" s="73">
        <v>9191838930</v>
      </c>
      <c r="F710" s="39" t="s">
        <v>247</v>
      </c>
      <c r="G710" s="103">
        <v>40638</v>
      </c>
      <c r="H710" s="105" t="str">
        <f t="shared" si="54"/>
        <v>April</v>
      </c>
      <c r="I710" s="51">
        <f t="shared" ca="1" si="55"/>
        <v>5</v>
      </c>
      <c r="J710" s="52"/>
      <c r="K710" s="53">
        <v>42990</v>
      </c>
      <c r="L710" s="54">
        <v>4</v>
      </c>
    </row>
    <row r="711" spans="1:12" ht="15" x14ac:dyDescent="0.25">
      <c r="A711" s="39" t="s">
        <v>479</v>
      </c>
      <c r="B711" s="46" t="s">
        <v>285</v>
      </c>
      <c r="C711" s="39" t="s">
        <v>930</v>
      </c>
      <c r="D711" s="72">
        <v>163350417</v>
      </c>
      <c r="E711" s="73">
        <v>2526466230</v>
      </c>
      <c r="F711" s="39" t="s">
        <v>256</v>
      </c>
      <c r="G711" s="81">
        <v>36672</v>
      </c>
      <c r="H711" s="105" t="str">
        <f t="shared" si="54"/>
        <v>May</v>
      </c>
      <c r="I711" s="51">
        <f t="shared" ca="1" si="55"/>
        <v>16</v>
      </c>
      <c r="J711" s="52" t="s">
        <v>262</v>
      </c>
      <c r="K711" s="53">
        <v>65320</v>
      </c>
      <c r="L711" s="54">
        <v>5</v>
      </c>
    </row>
    <row r="712" spans="1:12" ht="15" x14ac:dyDescent="0.25">
      <c r="A712" s="39" t="s">
        <v>921</v>
      </c>
      <c r="B712" s="46" t="s">
        <v>285</v>
      </c>
      <c r="C712" s="39" t="s">
        <v>930</v>
      </c>
      <c r="D712" s="72">
        <v>992674973</v>
      </c>
      <c r="E712" s="73">
        <v>2526088101</v>
      </c>
      <c r="F712" s="39" t="s">
        <v>256</v>
      </c>
      <c r="G712" s="81">
        <v>35052</v>
      </c>
      <c r="H712" s="105" t="str">
        <f t="shared" si="54"/>
        <v>December</v>
      </c>
      <c r="I712" s="51">
        <f t="shared" ca="1" si="55"/>
        <v>20</v>
      </c>
      <c r="J712" s="52" t="s">
        <v>267</v>
      </c>
      <c r="K712" s="53">
        <v>64780</v>
      </c>
      <c r="L712" s="54">
        <v>5</v>
      </c>
    </row>
    <row r="713" spans="1:12" ht="15" x14ac:dyDescent="0.25">
      <c r="A713" s="39" t="s">
        <v>610</v>
      </c>
      <c r="B713" s="46" t="s">
        <v>285</v>
      </c>
      <c r="C713" s="39" t="s">
        <v>930</v>
      </c>
      <c r="D713" s="72">
        <v>695198896</v>
      </c>
      <c r="E713" s="73">
        <v>2523533906</v>
      </c>
      <c r="F713" s="39" t="s">
        <v>247</v>
      </c>
      <c r="G713" s="81">
        <v>35826</v>
      </c>
      <c r="H713" s="105" t="str">
        <f t="shared" si="54"/>
        <v>January</v>
      </c>
      <c r="I713" s="51">
        <f t="shared" ca="1" si="55"/>
        <v>18</v>
      </c>
      <c r="J713" s="52"/>
      <c r="K713" s="53">
        <v>45030</v>
      </c>
      <c r="L713" s="54">
        <v>3</v>
      </c>
    </row>
    <row r="714" spans="1:12" ht="15" x14ac:dyDescent="0.25">
      <c r="A714" s="39" t="s">
        <v>354</v>
      </c>
      <c r="B714" s="46" t="s">
        <v>285</v>
      </c>
      <c r="C714" s="39" t="s">
        <v>930</v>
      </c>
      <c r="D714" s="72">
        <v>249416723</v>
      </c>
      <c r="E714" s="73">
        <v>2521628807</v>
      </c>
      <c r="F714" s="39" t="s">
        <v>256</v>
      </c>
      <c r="G714" s="81">
        <v>36025</v>
      </c>
      <c r="H714" s="105" t="str">
        <f t="shared" si="54"/>
        <v>August</v>
      </c>
      <c r="I714" s="51">
        <f t="shared" ca="1" si="55"/>
        <v>18</v>
      </c>
      <c r="J714" s="52" t="s">
        <v>262</v>
      </c>
      <c r="K714" s="53">
        <v>64470</v>
      </c>
      <c r="L714" s="54">
        <v>5</v>
      </c>
    </row>
    <row r="715" spans="1:12" ht="15" x14ac:dyDescent="0.25">
      <c r="A715" s="39" t="s">
        <v>812</v>
      </c>
      <c r="B715" s="46" t="s">
        <v>271</v>
      </c>
      <c r="C715" s="39" t="s">
        <v>930</v>
      </c>
      <c r="D715" s="72">
        <v>375875723</v>
      </c>
      <c r="E715" s="73">
        <v>2526026842</v>
      </c>
      <c r="F715" s="39" t="s">
        <v>247</v>
      </c>
      <c r="G715" s="81">
        <v>34723</v>
      </c>
      <c r="H715" s="105" t="str">
        <f t="shared" si="54"/>
        <v>January</v>
      </c>
      <c r="I715" s="51">
        <f t="shared" ca="1" si="55"/>
        <v>21</v>
      </c>
      <c r="J715" s="52"/>
      <c r="K715" s="53">
        <v>64263</v>
      </c>
      <c r="L715" s="54">
        <v>3</v>
      </c>
    </row>
    <row r="716" spans="1:12" ht="15" x14ac:dyDescent="0.25">
      <c r="A716" s="39" t="s">
        <v>787</v>
      </c>
      <c r="B716" s="46" t="s">
        <v>285</v>
      </c>
      <c r="C716" s="39" t="s">
        <v>930</v>
      </c>
      <c r="D716" s="72">
        <v>471064761</v>
      </c>
      <c r="E716" s="73">
        <v>9191800673</v>
      </c>
      <c r="F716" s="39" t="s">
        <v>252</v>
      </c>
      <c r="G716" s="81">
        <v>34825</v>
      </c>
      <c r="H716" s="105" t="str">
        <f t="shared" si="54"/>
        <v>May</v>
      </c>
      <c r="I716" s="51">
        <f t="shared" ca="1" si="55"/>
        <v>21</v>
      </c>
      <c r="J716" s="52"/>
      <c r="K716" s="53">
        <v>26944</v>
      </c>
      <c r="L716" s="54">
        <v>4</v>
      </c>
    </row>
    <row r="717" spans="1:12" ht="15" x14ac:dyDescent="0.25">
      <c r="A717" s="39" t="s">
        <v>810</v>
      </c>
      <c r="B717" s="46" t="s">
        <v>271</v>
      </c>
      <c r="C717" s="39" t="s">
        <v>930</v>
      </c>
      <c r="D717" s="72">
        <v>918436287</v>
      </c>
      <c r="E717" s="73">
        <v>2528238755</v>
      </c>
      <c r="F717" s="39" t="s">
        <v>247</v>
      </c>
      <c r="G717" s="81">
        <v>33193</v>
      </c>
      <c r="H717" s="105" t="str">
        <f t="shared" si="54"/>
        <v>November</v>
      </c>
      <c r="I717" s="51">
        <f t="shared" ca="1" si="55"/>
        <v>26</v>
      </c>
      <c r="J717" s="52"/>
      <c r="K717" s="53">
        <v>63610</v>
      </c>
      <c r="L717" s="54">
        <v>5</v>
      </c>
    </row>
    <row r="718" spans="1:12" ht="15" x14ac:dyDescent="0.25">
      <c r="A718" s="39" t="s">
        <v>836</v>
      </c>
      <c r="B718" s="46" t="s">
        <v>280</v>
      </c>
      <c r="C718" s="39" t="s">
        <v>930</v>
      </c>
      <c r="D718" s="72">
        <v>276873359</v>
      </c>
      <c r="E718" s="73">
        <v>2522304625</v>
      </c>
      <c r="F718" s="39" t="s">
        <v>256</v>
      </c>
      <c r="G718" s="81">
        <v>39171</v>
      </c>
      <c r="H718" s="105" t="str">
        <f t="shared" si="54"/>
        <v>March</v>
      </c>
      <c r="I718" s="51">
        <f t="shared" ca="1" si="55"/>
        <v>9</v>
      </c>
      <c r="J718" s="52" t="s">
        <v>267</v>
      </c>
      <c r="K718" s="53">
        <v>25690</v>
      </c>
      <c r="L718" s="54">
        <v>2</v>
      </c>
    </row>
    <row r="719" spans="1:12" ht="15" x14ac:dyDescent="0.25">
      <c r="A719" s="39" t="s">
        <v>960</v>
      </c>
      <c r="B719" s="46" t="s">
        <v>251</v>
      </c>
      <c r="C719" s="39" t="s">
        <v>930</v>
      </c>
      <c r="D719" s="72">
        <v>635240617</v>
      </c>
      <c r="E719" s="73">
        <v>9192259651</v>
      </c>
      <c r="F719" s="39" t="s">
        <v>256</v>
      </c>
      <c r="G719" s="81">
        <v>36843</v>
      </c>
      <c r="H719" s="105" t="str">
        <f t="shared" si="54"/>
        <v>November</v>
      </c>
      <c r="I719" s="51">
        <f t="shared" ca="1" si="55"/>
        <v>16</v>
      </c>
      <c r="J719" s="52" t="s">
        <v>283</v>
      </c>
      <c r="K719" s="53">
        <v>47630</v>
      </c>
      <c r="L719" s="54">
        <v>3</v>
      </c>
    </row>
    <row r="720" spans="1:12" ht="15" x14ac:dyDescent="0.25">
      <c r="A720" s="39" t="s">
        <v>829</v>
      </c>
      <c r="B720" s="46" t="s">
        <v>285</v>
      </c>
      <c r="C720" s="39" t="s">
        <v>930</v>
      </c>
      <c r="D720" s="72">
        <v>283476654</v>
      </c>
      <c r="E720" s="73">
        <v>9197049910</v>
      </c>
      <c r="F720" s="39" t="s">
        <v>256</v>
      </c>
      <c r="G720" s="81">
        <v>33681</v>
      </c>
      <c r="H720" s="105" t="str">
        <f t="shared" si="54"/>
        <v>March</v>
      </c>
      <c r="I720" s="51">
        <f t="shared" ca="1" si="55"/>
        <v>24</v>
      </c>
      <c r="J720" s="52" t="s">
        <v>262</v>
      </c>
      <c r="K720" s="53">
        <v>46550</v>
      </c>
      <c r="L720" s="54">
        <v>4</v>
      </c>
    </row>
    <row r="721" spans="1:12" ht="15" x14ac:dyDescent="0.25">
      <c r="A721" s="39" t="s">
        <v>954</v>
      </c>
      <c r="B721" s="46" t="s">
        <v>271</v>
      </c>
      <c r="C721" s="39" t="s">
        <v>930</v>
      </c>
      <c r="D721" s="72">
        <v>317749924</v>
      </c>
      <c r="E721" s="73">
        <v>9193441810</v>
      </c>
      <c r="F721" s="39" t="s">
        <v>247</v>
      </c>
      <c r="G721" s="81">
        <v>33977</v>
      </c>
      <c r="H721" s="105" t="str">
        <f t="shared" si="54"/>
        <v>January</v>
      </c>
      <c r="I721" s="51">
        <f t="shared" ca="1" si="55"/>
        <v>23</v>
      </c>
      <c r="J721" s="52"/>
      <c r="K721" s="53">
        <v>63290</v>
      </c>
      <c r="L721" s="54">
        <v>5</v>
      </c>
    </row>
    <row r="722" spans="1:12" ht="15" x14ac:dyDescent="0.25">
      <c r="A722" s="39" t="s">
        <v>339</v>
      </c>
      <c r="B722" s="46" t="s">
        <v>285</v>
      </c>
      <c r="C722" s="39" t="s">
        <v>930</v>
      </c>
      <c r="D722" s="72">
        <v>800685434</v>
      </c>
      <c r="E722" s="73">
        <v>2525821616</v>
      </c>
      <c r="F722" s="39" t="s">
        <v>256</v>
      </c>
      <c r="G722" s="81">
        <v>36956</v>
      </c>
      <c r="H722" s="105" t="str">
        <f t="shared" si="54"/>
        <v>March</v>
      </c>
      <c r="I722" s="51">
        <f t="shared" ca="1" si="55"/>
        <v>15</v>
      </c>
      <c r="J722" s="52" t="s">
        <v>276</v>
      </c>
      <c r="K722" s="53">
        <v>49930</v>
      </c>
      <c r="L722" s="54">
        <v>1</v>
      </c>
    </row>
    <row r="723" spans="1:12" ht="15" x14ac:dyDescent="0.25">
      <c r="A723" s="39" t="s">
        <v>901</v>
      </c>
      <c r="B723" s="46" t="s">
        <v>285</v>
      </c>
      <c r="C723" s="39" t="s">
        <v>930</v>
      </c>
      <c r="D723" s="72">
        <v>380304349</v>
      </c>
      <c r="E723" s="73">
        <v>2526129939</v>
      </c>
      <c r="F723" s="39" t="s">
        <v>256</v>
      </c>
      <c r="G723" s="81">
        <v>36549</v>
      </c>
      <c r="H723" s="105" t="str">
        <f t="shared" ref="H723:H752" si="56">CHOOSE(MONTH(G723),"January","February","March","April","May","June","July","August","September","October","November","December")</f>
        <v>January</v>
      </c>
      <c r="I723" s="51">
        <f t="shared" ref="I723:I752" ca="1" si="57">DATEDIF(G723,TODAY(),"Y")</f>
        <v>16</v>
      </c>
      <c r="J723" s="52" t="s">
        <v>283</v>
      </c>
      <c r="K723" s="53">
        <v>35460</v>
      </c>
      <c r="L723" s="54">
        <v>1</v>
      </c>
    </row>
    <row r="724" spans="1:12" ht="15" x14ac:dyDescent="0.25">
      <c r="A724" s="39" t="s">
        <v>521</v>
      </c>
      <c r="B724" s="46" t="s">
        <v>285</v>
      </c>
      <c r="C724" s="39" t="s">
        <v>930</v>
      </c>
      <c r="D724" s="72">
        <v>212558012</v>
      </c>
      <c r="E724" s="73">
        <v>2526860208</v>
      </c>
      <c r="F724" s="39" t="s">
        <v>256</v>
      </c>
      <c r="G724" s="81">
        <v>36967</v>
      </c>
      <c r="H724" s="105" t="str">
        <f t="shared" si="56"/>
        <v>March</v>
      </c>
      <c r="I724" s="51">
        <f t="shared" ca="1" si="57"/>
        <v>15</v>
      </c>
      <c r="J724" s="52" t="s">
        <v>257</v>
      </c>
      <c r="K724" s="53">
        <v>63060</v>
      </c>
      <c r="L724" s="54">
        <v>4</v>
      </c>
    </row>
    <row r="725" spans="1:12" ht="15" x14ac:dyDescent="0.25">
      <c r="A725" s="39" t="s">
        <v>358</v>
      </c>
      <c r="B725" s="46" t="s">
        <v>271</v>
      </c>
      <c r="C725" s="39" t="s">
        <v>930</v>
      </c>
      <c r="D725" s="72">
        <v>750006979</v>
      </c>
      <c r="E725" s="73">
        <v>2528444054</v>
      </c>
      <c r="F725" s="39" t="s">
        <v>261</v>
      </c>
      <c r="G725" s="81">
        <v>34042</v>
      </c>
      <c r="H725" s="105" t="str">
        <f t="shared" si="56"/>
        <v>March</v>
      </c>
      <c r="I725" s="51">
        <f t="shared" ca="1" si="57"/>
        <v>23</v>
      </c>
      <c r="J725" s="52" t="s">
        <v>267</v>
      </c>
      <c r="K725" s="53">
        <v>27710</v>
      </c>
      <c r="L725" s="54">
        <v>3</v>
      </c>
    </row>
    <row r="726" spans="1:12" ht="15" x14ac:dyDescent="0.25">
      <c r="A726" s="39" t="s">
        <v>509</v>
      </c>
      <c r="B726" s="46" t="s">
        <v>271</v>
      </c>
      <c r="C726" s="39" t="s">
        <v>930</v>
      </c>
      <c r="D726" s="72">
        <v>693214759</v>
      </c>
      <c r="E726" s="73">
        <v>9192683895</v>
      </c>
      <c r="F726" s="39" t="s">
        <v>256</v>
      </c>
      <c r="G726" s="81">
        <v>33806</v>
      </c>
      <c r="H726" s="105" t="str">
        <f t="shared" si="56"/>
        <v>July</v>
      </c>
      <c r="I726" s="51">
        <f t="shared" ca="1" si="57"/>
        <v>24</v>
      </c>
      <c r="J726" s="52" t="s">
        <v>262</v>
      </c>
      <c r="K726" s="53">
        <v>62780</v>
      </c>
      <c r="L726" s="54">
        <v>3</v>
      </c>
    </row>
    <row r="727" spans="1:12" ht="15" x14ac:dyDescent="0.25">
      <c r="A727" s="39" t="s">
        <v>953</v>
      </c>
      <c r="B727" s="46" t="s">
        <v>285</v>
      </c>
      <c r="C727" s="39" t="s">
        <v>930</v>
      </c>
      <c r="D727" s="72">
        <v>970466937</v>
      </c>
      <c r="E727" s="73">
        <v>9192042331</v>
      </c>
      <c r="F727" s="39" t="s">
        <v>247</v>
      </c>
      <c r="G727" s="81">
        <v>33495</v>
      </c>
      <c r="H727" s="105" t="str">
        <f t="shared" si="56"/>
        <v>September</v>
      </c>
      <c r="I727" s="51">
        <f t="shared" ca="1" si="57"/>
        <v>25</v>
      </c>
      <c r="J727" s="52"/>
      <c r="K727" s="53">
        <v>62480</v>
      </c>
      <c r="L727" s="54">
        <v>5</v>
      </c>
    </row>
    <row r="728" spans="1:12" ht="15" x14ac:dyDescent="0.25">
      <c r="A728" s="39" t="s">
        <v>501</v>
      </c>
      <c r="B728" s="46" t="s">
        <v>271</v>
      </c>
      <c r="C728" s="39" t="s">
        <v>930</v>
      </c>
      <c r="D728" s="72">
        <v>159594851</v>
      </c>
      <c r="E728" s="73">
        <v>9194084456</v>
      </c>
      <c r="F728" s="39" t="s">
        <v>256</v>
      </c>
      <c r="G728" s="103">
        <v>40680</v>
      </c>
      <c r="H728" s="105" t="str">
        <f t="shared" si="56"/>
        <v>May</v>
      </c>
      <c r="I728" s="51">
        <f t="shared" ca="1" si="57"/>
        <v>5</v>
      </c>
      <c r="J728" s="52" t="s">
        <v>276</v>
      </c>
      <c r="K728" s="53">
        <v>40260</v>
      </c>
      <c r="L728" s="54">
        <v>5</v>
      </c>
    </row>
    <row r="729" spans="1:12" ht="15" x14ac:dyDescent="0.25">
      <c r="A729" s="39" t="s">
        <v>769</v>
      </c>
      <c r="B729" s="46" t="s">
        <v>271</v>
      </c>
      <c r="C729" s="39" t="s">
        <v>930</v>
      </c>
      <c r="D729" s="72">
        <v>876082195</v>
      </c>
      <c r="E729" s="73">
        <v>2526049607</v>
      </c>
      <c r="F729" s="39" t="s">
        <v>256</v>
      </c>
      <c r="G729" s="81">
        <v>36330</v>
      </c>
      <c r="H729" s="105" t="str">
        <f t="shared" si="56"/>
        <v>June</v>
      </c>
      <c r="I729" s="51">
        <f t="shared" ca="1" si="57"/>
        <v>17</v>
      </c>
      <c r="J729" s="52" t="s">
        <v>276</v>
      </c>
      <c r="K729" s="53">
        <v>61850</v>
      </c>
      <c r="L729" s="54">
        <v>2</v>
      </c>
    </row>
    <row r="730" spans="1:12" ht="15" x14ac:dyDescent="0.25">
      <c r="A730" s="39" t="s">
        <v>773</v>
      </c>
      <c r="B730" s="46" t="s">
        <v>285</v>
      </c>
      <c r="C730" s="39" t="s">
        <v>930</v>
      </c>
      <c r="D730" s="72">
        <v>771110153</v>
      </c>
      <c r="E730" s="73">
        <v>9196799516</v>
      </c>
      <c r="F730" s="39" t="s">
        <v>256</v>
      </c>
      <c r="G730" s="81">
        <v>39283</v>
      </c>
      <c r="H730" s="105" t="str">
        <f t="shared" si="56"/>
        <v>July</v>
      </c>
      <c r="I730" s="51">
        <f t="shared" ca="1" si="57"/>
        <v>9</v>
      </c>
      <c r="J730" s="52" t="s">
        <v>257</v>
      </c>
      <c r="K730" s="53">
        <v>24980</v>
      </c>
      <c r="L730" s="54">
        <v>3</v>
      </c>
    </row>
    <row r="731" spans="1:12" ht="15" x14ac:dyDescent="0.25">
      <c r="A731" s="39" t="s">
        <v>541</v>
      </c>
      <c r="B731" s="46" t="s">
        <v>271</v>
      </c>
      <c r="C731" s="39" t="s">
        <v>930</v>
      </c>
      <c r="D731" s="72">
        <v>793256568</v>
      </c>
      <c r="E731" s="73">
        <v>9196999991</v>
      </c>
      <c r="F731" s="39" t="s">
        <v>256</v>
      </c>
      <c r="G731" s="81">
        <v>35364</v>
      </c>
      <c r="H731" s="105" t="str">
        <f t="shared" si="56"/>
        <v>October</v>
      </c>
      <c r="I731" s="51">
        <f t="shared" ca="1" si="57"/>
        <v>20</v>
      </c>
      <c r="J731" s="52" t="s">
        <v>257</v>
      </c>
      <c r="K731" s="53">
        <v>27130</v>
      </c>
      <c r="L731" s="54">
        <v>5</v>
      </c>
    </row>
    <row r="732" spans="1:12" ht="15" x14ac:dyDescent="0.25">
      <c r="A732" s="39" t="s">
        <v>428</v>
      </c>
      <c r="B732" s="46" t="s">
        <v>280</v>
      </c>
      <c r="C732" s="39" t="s">
        <v>930</v>
      </c>
      <c r="D732" s="72">
        <v>723066626</v>
      </c>
      <c r="E732" s="73">
        <v>2525399385</v>
      </c>
      <c r="F732" s="39" t="s">
        <v>247</v>
      </c>
      <c r="G732" s="81">
        <v>38438</v>
      </c>
      <c r="H732" s="105" t="str">
        <f t="shared" si="56"/>
        <v>March</v>
      </c>
      <c r="I732" s="51">
        <f t="shared" ca="1" si="57"/>
        <v>11</v>
      </c>
      <c r="J732" s="52"/>
      <c r="K732" s="53">
        <v>32880</v>
      </c>
      <c r="L732" s="54">
        <v>3</v>
      </c>
    </row>
    <row r="733" spans="1:12" ht="15" x14ac:dyDescent="0.25">
      <c r="A733" s="39" t="s">
        <v>824</v>
      </c>
      <c r="B733" s="46" t="s">
        <v>245</v>
      </c>
      <c r="C733" s="39" t="s">
        <v>930</v>
      </c>
      <c r="D733" s="72">
        <v>145495793</v>
      </c>
      <c r="E733" s="73">
        <v>2521603964</v>
      </c>
      <c r="F733" s="39" t="s">
        <v>261</v>
      </c>
      <c r="G733" s="81">
        <v>34960</v>
      </c>
      <c r="H733" s="105" t="str">
        <f t="shared" si="56"/>
        <v>September</v>
      </c>
      <c r="I733" s="51">
        <f t="shared" ca="1" si="57"/>
        <v>21</v>
      </c>
      <c r="J733" s="52" t="s">
        <v>276</v>
      </c>
      <c r="K733" s="53">
        <v>23000</v>
      </c>
      <c r="L733" s="54">
        <v>4</v>
      </c>
    </row>
    <row r="734" spans="1:12" ht="15" x14ac:dyDescent="0.25">
      <c r="A734" s="39" t="s">
        <v>435</v>
      </c>
      <c r="B734" s="46" t="s">
        <v>271</v>
      </c>
      <c r="C734" s="39" t="s">
        <v>930</v>
      </c>
      <c r="D734" s="72">
        <v>111616346</v>
      </c>
      <c r="E734" s="73">
        <v>2525717431</v>
      </c>
      <c r="F734" s="39" t="s">
        <v>247</v>
      </c>
      <c r="G734" s="81">
        <v>33506</v>
      </c>
      <c r="H734" s="105" t="str">
        <f t="shared" si="56"/>
        <v>September</v>
      </c>
      <c r="I734" s="51">
        <f t="shared" ca="1" si="57"/>
        <v>25</v>
      </c>
      <c r="J734" s="52"/>
      <c r="K734" s="53">
        <v>61134</v>
      </c>
      <c r="L734" s="54">
        <v>4</v>
      </c>
    </row>
    <row r="735" spans="1:12" ht="15" x14ac:dyDescent="0.25">
      <c r="A735" s="39" t="s">
        <v>754</v>
      </c>
      <c r="B735" s="46" t="s">
        <v>285</v>
      </c>
      <c r="C735" s="39" t="s">
        <v>930</v>
      </c>
      <c r="D735" s="72">
        <v>287476507</v>
      </c>
      <c r="E735" s="73">
        <v>9191509619</v>
      </c>
      <c r="F735" s="39" t="s">
        <v>261</v>
      </c>
      <c r="G735" s="81">
        <v>34005</v>
      </c>
      <c r="H735" s="105" t="str">
        <f t="shared" si="56"/>
        <v>February</v>
      </c>
      <c r="I735" s="51">
        <f t="shared" ca="1" si="57"/>
        <v>23</v>
      </c>
      <c r="J735" s="52" t="s">
        <v>257</v>
      </c>
      <c r="K735" s="53">
        <v>19935</v>
      </c>
      <c r="L735" s="54">
        <v>1</v>
      </c>
    </row>
    <row r="736" spans="1:12" ht="15" x14ac:dyDescent="0.25">
      <c r="A736" s="39" t="s">
        <v>743</v>
      </c>
      <c r="B736" s="46" t="s">
        <v>251</v>
      </c>
      <c r="C736" s="39" t="s">
        <v>930</v>
      </c>
      <c r="D736" s="72">
        <v>120361975</v>
      </c>
      <c r="E736" s="73">
        <v>2521789943</v>
      </c>
      <c r="F736" s="39" t="s">
        <v>256</v>
      </c>
      <c r="G736" s="81">
        <v>37495</v>
      </c>
      <c r="H736" s="105" t="str">
        <f t="shared" si="56"/>
        <v>August</v>
      </c>
      <c r="I736" s="51">
        <f t="shared" ca="1" si="57"/>
        <v>14</v>
      </c>
      <c r="J736" s="52" t="s">
        <v>276</v>
      </c>
      <c r="K736" s="53">
        <v>60300</v>
      </c>
      <c r="L736" s="54">
        <v>2</v>
      </c>
    </row>
    <row r="737" spans="1:12" ht="15" x14ac:dyDescent="0.25">
      <c r="A737" s="39" t="s">
        <v>488</v>
      </c>
      <c r="B737" s="46" t="s">
        <v>285</v>
      </c>
      <c r="C737" s="39" t="s">
        <v>930</v>
      </c>
      <c r="D737" s="72">
        <v>879114558</v>
      </c>
      <c r="E737" s="73">
        <v>9194557504</v>
      </c>
      <c r="F737" s="39" t="s">
        <v>261</v>
      </c>
      <c r="G737" s="81">
        <v>36918</v>
      </c>
      <c r="H737" s="105" t="str">
        <f t="shared" si="56"/>
        <v>January</v>
      </c>
      <c r="I737" s="51">
        <f t="shared" ca="1" si="57"/>
        <v>15</v>
      </c>
      <c r="J737" s="52" t="s">
        <v>257</v>
      </c>
      <c r="K737" s="53">
        <v>17205</v>
      </c>
      <c r="L737" s="54">
        <v>5</v>
      </c>
    </row>
    <row r="738" spans="1:12" ht="15" x14ac:dyDescent="0.25">
      <c r="A738" s="39" t="s">
        <v>549</v>
      </c>
      <c r="B738" s="46" t="s">
        <v>245</v>
      </c>
      <c r="C738" s="39" t="s">
        <v>930</v>
      </c>
      <c r="D738" s="72">
        <v>262585858</v>
      </c>
      <c r="E738" s="73">
        <v>2528566597</v>
      </c>
      <c r="F738" s="39" t="s">
        <v>261</v>
      </c>
      <c r="G738" s="81">
        <v>35518</v>
      </c>
      <c r="H738" s="105" t="str">
        <f t="shared" si="56"/>
        <v>March</v>
      </c>
      <c r="I738" s="51">
        <f t="shared" ca="1" si="57"/>
        <v>19</v>
      </c>
      <c r="J738" s="52" t="s">
        <v>262</v>
      </c>
      <c r="K738" s="53">
        <v>13690</v>
      </c>
      <c r="L738" s="54">
        <v>5</v>
      </c>
    </row>
    <row r="739" spans="1:12" ht="15" x14ac:dyDescent="0.25">
      <c r="A739" s="39" t="s">
        <v>701</v>
      </c>
      <c r="B739" s="46" t="s">
        <v>271</v>
      </c>
      <c r="C739" s="39" t="s">
        <v>930</v>
      </c>
      <c r="D739" s="72">
        <v>595022550</v>
      </c>
      <c r="E739" s="73">
        <v>9195621928</v>
      </c>
      <c r="F739" s="39" t="s">
        <v>256</v>
      </c>
      <c r="G739" s="81">
        <v>33957</v>
      </c>
      <c r="H739" s="105" t="str">
        <f t="shared" si="56"/>
        <v>December</v>
      </c>
      <c r="I739" s="51">
        <f t="shared" ca="1" si="57"/>
        <v>23</v>
      </c>
      <c r="J739" s="52" t="s">
        <v>262</v>
      </c>
      <c r="K739" s="53">
        <v>59490</v>
      </c>
      <c r="L739" s="54">
        <v>3</v>
      </c>
    </row>
    <row r="740" spans="1:12" ht="15" x14ac:dyDescent="0.25">
      <c r="A740" s="39" t="s">
        <v>676</v>
      </c>
      <c r="B740" s="46" t="s">
        <v>245</v>
      </c>
      <c r="C740" s="39" t="s">
        <v>930</v>
      </c>
      <c r="D740" s="72">
        <v>741258203</v>
      </c>
      <c r="E740" s="73">
        <v>9195157707</v>
      </c>
      <c r="F740" s="39" t="s">
        <v>247</v>
      </c>
      <c r="G740" s="81">
        <v>33789</v>
      </c>
      <c r="H740" s="105" t="str">
        <f t="shared" si="56"/>
        <v>July</v>
      </c>
      <c r="I740" s="51">
        <f t="shared" ca="1" si="57"/>
        <v>24</v>
      </c>
      <c r="J740" s="52"/>
      <c r="K740" s="53">
        <v>59128</v>
      </c>
      <c r="L740" s="54">
        <v>4</v>
      </c>
    </row>
    <row r="741" spans="1:12" ht="15" x14ac:dyDescent="0.25">
      <c r="A741" s="39" t="s">
        <v>402</v>
      </c>
      <c r="B741" s="46" t="s">
        <v>285</v>
      </c>
      <c r="C741" s="39" t="s">
        <v>930</v>
      </c>
      <c r="D741" s="72">
        <v>627494412</v>
      </c>
      <c r="E741" s="73">
        <v>2528249735</v>
      </c>
      <c r="F741" s="39" t="s">
        <v>256</v>
      </c>
      <c r="G741" s="81">
        <v>35276</v>
      </c>
      <c r="H741" s="105" t="str">
        <f t="shared" si="56"/>
        <v>July</v>
      </c>
      <c r="I741" s="51">
        <f t="shared" ca="1" si="57"/>
        <v>20</v>
      </c>
      <c r="J741" s="52" t="s">
        <v>257</v>
      </c>
      <c r="K741" s="53">
        <v>58370</v>
      </c>
      <c r="L741" s="54">
        <v>5</v>
      </c>
    </row>
    <row r="742" spans="1:12" ht="15" x14ac:dyDescent="0.25">
      <c r="A742" s="39" t="s">
        <v>719</v>
      </c>
      <c r="B742" s="46" t="s">
        <v>245</v>
      </c>
      <c r="C742" s="39" t="s">
        <v>930</v>
      </c>
      <c r="D742" s="72">
        <v>247422007</v>
      </c>
      <c r="E742" s="73">
        <v>2528012440</v>
      </c>
      <c r="F742" s="39" t="s">
        <v>247</v>
      </c>
      <c r="G742" s="81">
        <v>36193</v>
      </c>
      <c r="H742" s="105" t="str">
        <f t="shared" si="56"/>
        <v>February</v>
      </c>
      <c r="I742" s="51">
        <f t="shared" ca="1" si="57"/>
        <v>17</v>
      </c>
      <c r="J742" s="52"/>
      <c r="K742" s="53">
        <v>58250</v>
      </c>
      <c r="L742" s="54">
        <v>2</v>
      </c>
    </row>
    <row r="743" spans="1:12" ht="15" x14ac:dyDescent="0.25">
      <c r="A743" s="39" t="s">
        <v>361</v>
      </c>
      <c r="B743" s="46" t="s">
        <v>285</v>
      </c>
      <c r="C743" s="39" t="s">
        <v>930</v>
      </c>
      <c r="D743" s="72">
        <v>144722757</v>
      </c>
      <c r="E743" s="73">
        <v>9196060038</v>
      </c>
      <c r="F743" s="39" t="s">
        <v>247</v>
      </c>
      <c r="G743" s="81">
        <v>33562</v>
      </c>
      <c r="H743" s="105" t="str">
        <f t="shared" si="56"/>
        <v>November</v>
      </c>
      <c r="I743" s="51">
        <f t="shared" ca="1" si="57"/>
        <v>24</v>
      </c>
      <c r="J743" s="52"/>
      <c r="K743" s="53">
        <v>57500</v>
      </c>
      <c r="L743" s="54">
        <v>1</v>
      </c>
    </row>
    <row r="744" spans="1:12" ht="15" x14ac:dyDescent="0.25">
      <c r="A744" s="39" t="s">
        <v>399</v>
      </c>
      <c r="B744" s="46" t="s">
        <v>266</v>
      </c>
      <c r="C744" s="39" t="s">
        <v>930</v>
      </c>
      <c r="D744" s="72">
        <v>616055292</v>
      </c>
      <c r="E744" s="73">
        <v>9192913490</v>
      </c>
      <c r="F744" s="39" t="s">
        <v>256</v>
      </c>
      <c r="G744" s="81">
        <v>33921</v>
      </c>
      <c r="H744" s="105" t="str">
        <f t="shared" si="56"/>
        <v>November</v>
      </c>
      <c r="I744" s="51">
        <f t="shared" ca="1" si="57"/>
        <v>24</v>
      </c>
      <c r="J744" s="52" t="s">
        <v>267</v>
      </c>
      <c r="K744" s="53">
        <v>32160</v>
      </c>
      <c r="L744" s="54">
        <v>3</v>
      </c>
    </row>
    <row r="745" spans="1:12" ht="15" x14ac:dyDescent="0.25">
      <c r="A745" s="39" t="s">
        <v>461</v>
      </c>
      <c r="B745" s="46" t="s">
        <v>280</v>
      </c>
      <c r="C745" s="39" t="s">
        <v>930</v>
      </c>
      <c r="D745" s="72">
        <v>643984096</v>
      </c>
      <c r="E745" s="73">
        <v>9191630739</v>
      </c>
      <c r="F745" s="39" t="s">
        <v>247</v>
      </c>
      <c r="G745" s="81">
        <v>33413</v>
      </c>
      <c r="H745" s="105" t="str">
        <f t="shared" si="56"/>
        <v>June</v>
      </c>
      <c r="I745" s="51">
        <f t="shared" ca="1" si="57"/>
        <v>25</v>
      </c>
      <c r="J745" s="52"/>
      <c r="K745" s="53">
        <v>26020</v>
      </c>
      <c r="L745" s="54">
        <v>5</v>
      </c>
    </row>
    <row r="746" spans="1:12" ht="15" x14ac:dyDescent="0.25">
      <c r="A746" s="39" t="s">
        <v>526</v>
      </c>
      <c r="B746" s="46" t="s">
        <v>285</v>
      </c>
      <c r="C746" s="39" t="s">
        <v>930</v>
      </c>
      <c r="D746" s="72">
        <v>151532569</v>
      </c>
      <c r="E746" s="73">
        <v>2525202015</v>
      </c>
      <c r="F746" s="39" t="s">
        <v>247</v>
      </c>
      <c r="G746" s="103">
        <v>40563</v>
      </c>
      <c r="H746" s="105" t="str">
        <f t="shared" si="56"/>
        <v>January</v>
      </c>
      <c r="I746" s="51">
        <f t="shared" ca="1" si="57"/>
        <v>5</v>
      </c>
      <c r="J746" s="52"/>
      <c r="K746" s="53">
        <v>55510</v>
      </c>
      <c r="L746" s="54">
        <v>3</v>
      </c>
    </row>
    <row r="747" spans="1:12" ht="15" x14ac:dyDescent="0.25">
      <c r="A747" s="39" t="s">
        <v>983</v>
      </c>
      <c r="B747" s="46" t="s">
        <v>285</v>
      </c>
      <c r="C747" s="39" t="s">
        <v>930</v>
      </c>
      <c r="D747" s="72">
        <v>177324163</v>
      </c>
      <c r="E747" s="73">
        <v>2527091949</v>
      </c>
      <c r="F747" s="39" t="s">
        <v>256</v>
      </c>
      <c r="G747" s="81">
        <v>37810</v>
      </c>
      <c r="H747" s="105" t="str">
        <f t="shared" si="56"/>
        <v>July</v>
      </c>
      <c r="I747" s="51">
        <f t="shared" ca="1" si="57"/>
        <v>13</v>
      </c>
      <c r="J747" s="52" t="s">
        <v>283</v>
      </c>
      <c r="K747" s="53">
        <v>48010</v>
      </c>
      <c r="L747" s="54">
        <v>3</v>
      </c>
    </row>
    <row r="748" spans="1:12" ht="15" x14ac:dyDescent="0.25">
      <c r="A748" s="39" t="s">
        <v>427</v>
      </c>
      <c r="B748" s="46" t="s">
        <v>266</v>
      </c>
      <c r="C748" s="39" t="s">
        <v>930</v>
      </c>
      <c r="D748" s="72">
        <v>971128623</v>
      </c>
      <c r="E748" s="73">
        <v>9194375399</v>
      </c>
      <c r="F748" s="39" t="s">
        <v>247</v>
      </c>
      <c r="G748" s="81">
        <v>37141</v>
      </c>
      <c r="H748" s="105" t="str">
        <f t="shared" si="56"/>
        <v>September</v>
      </c>
      <c r="I748" s="51">
        <f t="shared" ca="1" si="57"/>
        <v>15</v>
      </c>
      <c r="J748" s="52"/>
      <c r="K748" s="53">
        <v>25530</v>
      </c>
      <c r="L748" s="54">
        <v>3</v>
      </c>
    </row>
    <row r="749" spans="1:12" ht="15" x14ac:dyDescent="0.25">
      <c r="A749" s="39" t="s">
        <v>414</v>
      </c>
      <c r="B749" s="46" t="s">
        <v>285</v>
      </c>
      <c r="C749" s="39" t="s">
        <v>930</v>
      </c>
      <c r="D749" s="72">
        <v>121173068</v>
      </c>
      <c r="E749" s="73">
        <v>9196778600</v>
      </c>
      <c r="F749" s="39" t="s">
        <v>256</v>
      </c>
      <c r="G749" s="81">
        <v>40568</v>
      </c>
      <c r="H749" s="105" t="str">
        <f t="shared" si="56"/>
        <v>January</v>
      </c>
      <c r="I749" s="51">
        <f t="shared" ca="1" si="57"/>
        <v>5</v>
      </c>
      <c r="J749" s="52" t="s">
        <v>257</v>
      </c>
      <c r="K749" s="53">
        <v>46390</v>
      </c>
      <c r="L749" s="54">
        <v>5</v>
      </c>
    </row>
    <row r="750" spans="1:12" ht="15" x14ac:dyDescent="0.25">
      <c r="A750" s="39" t="s">
        <v>413</v>
      </c>
      <c r="B750" s="46" t="s">
        <v>285</v>
      </c>
      <c r="C750" s="39" t="s">
        <v>930</v>
      </c>
      <c r="D750" s="72">
        <v>891224981</v>
      </c>
      <c r="E750" s="73">
        <v>2526391402</v>
      </c>
      <c r="F750" s="39" t="s">
        <v>261</v>
      </c>
      <c r="G750" s="81">
        <v>34140</v>
      </c>
      <c r="H750" s="105" t="str">
        <f t="shared" si="56"/>
        <v>June</v>
      </c>
      <c r="I750" s="51">
        <f t="shared" ca="1" si="57"/>
        <v>23</v>
      </c>
      <c r="J750" s="52" t="s">
        <v>276</v>
      </c>
      <c r="K750" s="53">
        <v>11230</v>
      </c>
      <c r="L750" s="54">
        <v>4</v>
      </c>
    </row>
    <row r="751" spans="1:12" ht="15" x14ac:dyDescent="0.25">
      <c r="A751" s="39" t="s">
        <v>989</v>
      </c>
      <c r="B751" s="46" t="s">
        <v>271</v>
      </c>
      <c r="C751" s="39" t="s">
        <v>930</v>
      </c>
      <c r="D751" s="72">
        <v>657835603</v>
      </c>
      <c r="E751" s="73">
        <v>2526609693</v>
      </c>
      <c r="F751" s="39" t="s">
        <v>256</v>
      </c>
      <c r="G751" s="81">
        <v>33279</v>
      </c>
      <c r="H751" s="105" t="str">
        <f t="shared" si="56"/>
        <v>February</v>
      </c>
      <c r="I751" s="51">
        <f t="shared" ca="1" si="57"/>
        <v>25</v>
      </c>
      <c r="J751" s="52" t="s">
        <v>257</v>
      </c>
      <c r="K751" s="53">
        <v>24200</v>
      </c>
      <c r="L751" s="54">
        <v>5</v>
      </c>
    </row>
    <row r="752" spans="1:12" ht="15" x14ac:dyDescent="0.25">
      <c r="A752" s="39" t="s">
        <v>725</v>
      </c>
      <c r="B752" s="46" t="s">
        <v>271</v>
      </c>
      <c r="C752" s="39" t="s">
        <v>930</v>
      </c>
      <c r="D752" s="72">
        <v>308317457</v>
      </c>
      <c r="E752" s="73">
        <v>9192729524</v>
      </c>
      <c r="F752" s="39" t="s">
        <v>256</v>
      </c>
      <c r="G752" s="103">
        <v>40680</v>
      </c>
      <c r="H752" s="105" t="str">
        <f t="shared" si="56"/>
        <v>May</v>
      </c>
      <c r="I752" s="51">
        <f t="shared" ca="1" si="57"/>
        <v>5</v>
      </c>
      <c r="J752" s="52" t="s">
        <v>257</v>
      </c>
      <c r="K752" s="53">
        <v>23030</v>
      </c>
      <c r="L752" s="54">
        <v>4</v>
      </c>
    </row>
    <row r="753" spans="1:12" ht="15" x14ac:dyDescent="0.25">
      <c r="A753" s="39"/>
      <c r="B753" s="46"/>
      <c r="C753" s="111"/>
      <c r="D753" s="72"/>
      <c r="E753" s="73"/>
      <c r="F753" s="39"/>
      <c r="G753" s="103"/>
      <c r="H753" s="105"/>
      <c r="I753" s="51"/>
      <c r="J753" s="52"/>
      <c r="K753" s="53"/>
      <c r="L753" s="54"/>
    </row>
    <row r="754" spans="1:12" ht="15" x14ac:dyDescent="0.25">
      <c r="A754" s="39" t="s">
        <v>732</v>
      </c>
      <c r="B754" s="46" t="s">
        <v>245</v>
      </c>
      <c r="C754" s="39" t="s">
        <v>1025</v>
      </c>
      <c r="D754" s="72">
        <v>797985708</v>
      </c>
      <c r="E754" s="73">
        <v>9193578185</v>
      </c>
      <c r="F754" s="39" t="s">
        <v>256</v>
      </c>
      <c r="G754" s="81">
        <v>37073</v>
      </c>
      <c r="H754" s="105" t="str">
        <f>CHOOSE(MONTH(G754),"January","February","March","April","May","June","July","August","September","October","November","December")</f>
        <v>July</v>
      </c>
      <c r="I754" s="51">
        <f ca="1">DATEDIF(G754,TODAY(),"Y")</f>
        <v>15</v>
      </c>
      <c r="J754" s="52" t="s">
        <v>276</v>
      </c>
      <c r="K754" s="53">
        <v>40680</v>
      </c>
      <c r="L754" s="54">
        <v>5</v>
      </c>
    </row>
    <row r="755" spans="1:12" ht="15" x14ac:dyDescent="0.25">
      <c r="A755" s="39" t="s">
        <v>1022</v>
      </c>
      <c r="B755" s="46" t="s">
        <v>245</v>
      </c>
      <c r="C755" s="39" t="s">
        <v>1025</v>
      </c>
      <c r="D755" s="72">
        <v>776823797</v>
      </c>
      <c r="E755" s="73">
        <v>9193482736</v>
      </c>
      <c r="F755" s="39" t="s">
        <v>247</v>
      </c>
      <c r="G755" s="81">
        <v>33387</v>
      </c>
      <c r="H755" s="105" t="str">
        <f>CHOOSE(MONTH(G755),"January","February","March","April","May","June","July","August","September","October","November","December")</f>
        <v>May</v>
      </c>
      <c r="I755" s="51">
        <f ca="1">DATEDIF(G755,TODAY(),"Y")</f>
        <v>25</v>
      </c>
      <c r="J755" s="52"/>
      <c r="K755" s="53">
        <v>85510</v>
      </c>
      <c r="L755" s="54">
        <v>4</v>
      </c>
    </row>
    <row r="756" spans="1:12" ht="15" x14ac:dyDescent="0.25">
      <c r="A756" s="39" t="s">
        <v>400</v>
      </c>
      <c r="B756" s="46" t="s">
        <v>266</v>
      </c>
      <c r="C756" s="39" t="s">
        <v>1025</v>
      </c>
      <c r="D756" s="72">
        <v>443926890</v>
      </c>
      <c r="E756" s="73">
        <v>2524411859</v>
      </c>
      <c r="F756" s="39" t="s">
        <v>256</v>
      </c>
      <c r="G756" s="81">
        <v>37684</v>
      </c>
      <c r="H756" s="105" t="str">
        <f>CHOOSE(MONTH(G756),"January","February","March","April","May","June","July","August","September","October","November","December")</f>
        <v>March</v>
      </c>
      <c r="I756" s="51">
        <f ca="1">DATEDIF(G756,TODAY(),"Y")</f>
        <v>13</v>
      </c>
      <c r="J756" s="52" t="s">
        <v>283</v>
      </c>
      <c r="K756" s="53">
        <v>42800</v>
      </c>
      <c r="L756" s="54">
        <v>5</v>
      </c>
    </row>
    <row r="757" spans="1:12" ht="15" x14ac:dyDescent="0.25">
      <c r="A757" s="39" t="s">
        <v>673</v>
      </c>
      <c r="B757" s="46" t="s">
        <v>271</v>
      </c>
      <c r="C757" s="39" t="s">
        <v>1025</v>
      </c>
      <c r="D757" s="72">
        <v>106099892</v>
      </c>
      <c r="E757" s="73">
        <v>9194436681</v>
      </c>
      <c r="F757" s="39" t="s">
        <v>247</v>
      </c>
      <c r="G757" s="81">
        <v>40719</v>
      </c>
      <c r="H757" s="105" t="str">
        <f>CHOOSE(MONTH(G757),"January","February","March","April","May","June","July","August","September","October","November","December")</f>
        <v>June</v>
      </c>
      <c r="I757" s="51">
        <f ca="1">DATEDIF(G757,TODAY(),"Y")</f>
        <v>5</v>
      </c>
      <c r="J757" s="52"/>
      <c r="K757" s="53">
        <v>66132</v>
      </c>
      <c r="L757" s="54">
        <v>4</v>
      </c>
    </row>
    <row r="758" spans="1:12" ht="15" x14ac:dyDescent="0.25">
      <c r="A758" s="39" t="s">
        <v>302</v>
      </c>
      <c r="B758" s="46" t="s">
        <v>271</v>
      </c>
      <c r="C758" s="39" t="s">
        <v>1025</v>
      </c>
      <c r="D758" s="72">
        <v>510700395</v>
      </c>
      <c r="E758" s="73">
        <v>9196690862</v>
      </c>
      <c r="F758" s="39" t="s">
        <v>256</v>
      </c>
      <c r="G758" s="81">
        <v>36991</v>
      </c>
      <c r="H758" s="105" t="str">
        <f>CHOOSE(MONTH(G758),"January","February","March","April","May","June","July","August","September","October","November","December")</f>
        <v>April</v>
      </c>
      <c r="I758" s="51">
        <f ca="1">DATEDIF(G758,TODAY(),"Y")</f>
        <v>15</v>
      </c>
      <c r="J758" s="52" t="s">
        <v>257</v>
      </c>
      <c r="K758" s="53">
        <v>63670</v>
      </c>
      <c r="L758" s="54">
        <v>5</v>
      </c>
    </row>
    <row r="759" spans="1:12" ht="15" x14ac:dyDescent="0.25">
      <c r="A759" s="39"/>
      <c r="B759" s="46"/>
      <c r="C759" s="111"/>
      <c r="D759" s="72"/>
      <c r="E759" s="73"/>
      <c r="F759" s="39"/>
      <c r="G759" s="81"/>
      <c r="H759" s="105"/>
      <c r="I759" s="51"/>
      <c r="J759" s="52"/>
      <c r="K759" s="53"/>
      <c r="L759" s="54"/>
    </row>
    <row r="760" spans="1:12" ht="15" x14ac:dyDescent="0.25">
      <c r="A760" s="39" t="s">
        <v>405</v>
      </c>
      <c r="B760" s="46" t="s">
        <v>266</v>
      </c>
      <c r="C760" s="39" t="s">
        <v>1031</v>
      </c>
      <c r="D760" s="72">
        <v>827277063</v>
      </c>
      <c r="E760" s="73">
        <v>2528873234</v>
      </c>
      <c r="F760" s="39" t="s">
        <v>252</v>
      </c>
      <c r="G760" s="81">
        <v>40543</v>
      </c>
      <c r="H760" s="105" t="str">
        <f>CHOOSE(MONTH(G760),"January","February","March","April","May","June","July","August","September","October","November","December")</f>
        <v>December</v>
      </c>
      <c r="I760" s="51">
        <f ca="1">DATEDIF(G760,TODAY(),"Y")</f>
        <v>5</v>
      </c>
      <c r="J760" s="52"/>
      <c r="K760" s="53">
        <v>19044</v>
      </c>
      <c r="L760" s="54">
        <v>1</v>
      </c>
    </row>
    <row r="761" spans="1:12" ht="15" x14ac:dyDescent="0.25">
      <c r="A761" s="39" t="s">
        <v>561</v>
      </c>
      <c r="B761" s="46" t="s">
        <v>266</v>
      </c>
      <c r="C761" s="39" t="s">
        <v>1031</v>
      </c>
      <c r="D761" s="72">
        <v>495372474</v>
      </c>
      <c r="E761" s="73">
        <v>9194137278</v>
      </c>
      <c r="F761" s="39" t="s">
        <v>261</v>
      </c>
      <c r="G761" s="81">
        <v>36557</v>
      </c>
      <c r="H761" s="105" t="str">
        <f>CHOOSE(MONTH(G761),"January","February","March","April","May","June","July","August","September","October","November","December")</f>
        <v>February</v>
      </c>
      <c r="I761" s="51">
        <f ca="1">DATEDIF(G761,TODAY(),"Y")</f>
        <v>16</v>
      </c>
      <c r="J761" s="52" t="s">
        <v>257</v>
      </c>
      <c r="K761" s="53">
        <v>31250</v>
      </c>
      <c r="L761" s="54">
        <v>2</v>
      </c>
    </row>
    <row r="762" spans="1:12" ht="15" x14ac:dyDescent="0.25">
      <c r="A762" s="39" t="s">
        <v>406</v>
      </c>
      <c r="B762" s="46" t="s">
        <v>285</v>
      </c>
      <c r="C762" s="39" t="s">
        <v>1031</v>
      </c>
      <c r="D762" s="72">
        <v>978092408</v>
      </c>
      <c r="E762" s="73">
        <v>9191888279</v>
      </c>
      <c r="F762" s="39" t="s">
        <v>247</v>
      </c>
      <c r="G762" s="81">
        <v>34525</v>
      </c>
      <c r="H762" s="105" t="str">
        <f>CHOOSE(MONTH(G762),"January","February","March","April","May","June","July","August","September","October","November","December")</f>
        <v>July</v>
      </c>
      <c r="I762" s="51">
        <f ca="1">DATEDIF(G762,TODAY(),"Y")</f>
        <v>22</v>
      </c>
      <c r="J762" s="52"/>
      <c r="K762" s="53">
        <v>64720</v>
      </c>
      <c r="L762" s="54">
        <v>5</v>
      </c>
    </row>
    <row r="763" spans="1:12" ht="15" x14ac:dyDescent="0.25">
      <c r="A763" s="39" t="s">
        <v>894</v>
      </c>
      <c r="B763" s="46" t="s">
        <v>285</v>
      </c>
      <c r="C763" s="39" t="s">
        <v>1031</v>
      </c>
      <c r="D763" s="72">
        <v>183135788</v>
      </c>
      <c r="E763" s="73">
        <v>2521198851</v>
      </c>
      <c r="F763" s="39" t="s">
        <v>247</v>
      </c>
      <c r="G763" s="81">
        <v>34003</v>
      </c>
      <c r="H763" s="105" t="str">
        <f>CHOOSE(MONTH(G763),"January","February","March","April","May","June","July","August","September","October","November","December")</f>
        <v>February</v>
      </c>
      <c r="I763" s="51">
        <f ca="1">DATEDIF(G763,TODAY(),"Y")</f>
        <v>23</v>
      </c>
      <c r="J763" s="52"/>
      <c r="K763" s="53">
        <v>60760</v>
      </c>
      <c r="L763" s="54">
        <v>2</v>
      </c>
    </row>
    <row r="764" spans="1:12" ht="15" x14ac:dyDescent="0.25">
      <c r="A764" s="39" t="s">
        <v>737</v>
      </c>
      <c r="B764" s="46" t="s">
        <v>251</v>
      </c>
      <c r="C764" s="39" t="s">
        <v>1031</v>
      </c>
      <c r="D764" s="72">
        <v>383616821</v>
      </c>
      <c r="E764" s="73">
        <v>2524989537</v>
      </c>
      <c r="F764" s="39" t="s">
        <v>256</v>
      </c>
      <c r="G764" s="81">
        <v>40384</v>
      </c>
      <c r="H764" s="105" t="str">
        <f>CHOOSE(MONTH(G764),"January","February","March","April","May","June","July","August","September","October","November","December")</f>
        <v>July</v>
      </c>
      <c r="I764" s="51">
        <f ca="1">DATEDIF(G764,TODAY(),"Y")</f>
        <v>6</v>
      </c>
      <c r="J764" s="52" t="s">
        <v>257</v>
      </c>
      <c r="K764" s="53">
        <v>46680</v>
      </c>
      <c r="L764" s="54">
        <v>1</v>
      </c>
    </row>
  </sheetData>
  <pageMargins left="0.75" right="0.75" top="1" bottom="1"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910"/>
  <sheetViews>
    <sheetView zoomScale="145" zoomScaleNormal="145" workbookViewId="0">
      <selection activeCell="B35" sqref="B35"/>
    </sheetView>
  </sheetViews>
  <sheetFormatPr defaultRowHeight="15" x14ac:dyDescent="0.25"/>
  <cols>
    <col min="1" max="1" width="11.85546875" style="228" bestFit="1" customWidth="1"/>
    <col min="2" max="2" width="26.42578125" style="228" customWidth="1"/>
    <col min="3" max="3" width="12.140625" style="228" customWidth="1"/>
    <col min="4" max="4" width="28.7109375" style="228" customWidth="1"/>
    <col min="5" max="5" width="16.5703125" style="228" customWidth="1"/>
    <col min="6" max="6" width="13.28515625" style="228" customWidth="1"/>
    <col min="7" max="8" width="9.140625" style="228"/>
    <col min="9" max="9" width="21.7109375" style="228" customWidth="1"/>
    <col min="10" max="10" width="5" style="228" bestFit="1" customWidth="1"/>
    <col min="11" max="11" width="3.42578125" style="228" bestFit="1" customWidth="1"/>
    <col min="12" max="16384" width="9.140625" style="228"/>
  </cols>
  <sheetData>
    <row r="1" spans="1:11" x14ac:dyDescent="0.25">
      <c r="A1" s="231" t="s">
        <v>1556</v>
      </c>
      <c r="B1" s="231"/>
      <c r="C1" s="231" t="s">
        <v>1555</v>
      </c>
      <c r="D1" s="231"/>
      <c r="E1" s="231" t="s">
        <v>1554</v>
      </c>
      <c r="J1" s="228" t="s">
        <v>248</v>
      </c>
      <c r="K1" s="228">
        <v>1</v>
      </c>
    </row>
    <row r="2" spans="1:11" x14ac:dyDescent="0.25">
      <c r="A2" s="228" t="s">
        <v>1507</v>
      </c>
      <c r="B2" s="230"/>
      <c r="C2" s="228" t="s">
        <v>1506</v>
      </c>
      <c r="D2" s="230"/>
      <c r="E2" s="229" t="s">
        <v>1553</v>
      </c>
      <c r="F2" s="230"/>
      <c r="J2" s="228" t="s">
        <v>253</v>
      </c>
      <c r="K2" s="228">
        <v>2</v>
      </c>
    </row>
    <row r="3" spans="1:11" x14ac:dyDescent="0.25">
      <c r="A3" s="228" t="s">
        <v>1527</v>
      </c>
      <c r="C3" s="228" t="s">
        <v>1526</v>
      </c>
      <c r="E3" s="229" t="s">
        <v>1551</v>
      </c>
      <c r="J3" s="228" t="s">
        <v>258</v>
      </c>
      <c r="K3" s="228">
        <v>3</v>
      </c>
    </row>
    <row r="4" spans="1:11" x14ac:dyDescent="0.25">
      <c r="A4" s="228" t="s">
        <v>1531</v>
      </c>
      <c r="C4" s="228" t="s">
        <v>1530</v>
      </c>
      <c r="E4" s="229" t="s">
        <v>1552</v>
      </c>
      <c r="J4" s="228" t="s">
        <v>263</v>
      </c>
      <c r="K4" s="228">
        <v>4</v>
      </c>
    </row>
    <row r="5" spans="1:11" x14ac:dyDescent="0.25">
      <c r="A5" s="228" t="s">
        <v>1535</v>
      </c>
      <c r="C5" s="228" t="s">
        <v>1534</v>
      </c>
      <c r="E5" s="229" t="s">
        <v>1551</v>
      </c>
      <c r="J5" s="228" t="s">
        <v>268</v>
      </c>
      <c r="K5" s="228">
        <v>5</v>
      </c>
    </row>
    <row r="6" spans="1:11" x14ac:dyDescent="0.25">
      <c r="A6" s="228" t="s">
        <v>1507</v>
      </c>
      <c r="C6" s="228" t="s">
        <v>1506</v>
      </c>
      <c r="E6" s="229" t="s">
        <v>1550</v>
      </c>
      <c r="J6" s="228" t="s">
        <v>273</v>
      </c>
      <c r="K6" s="228">
        <v>6</v>
      </c>
    </row>
    <row r="7" spans="1:11" x14ac:dyDescent="0.25">
      <c r="A7" s="228" t="s">
        <v>1521</v>
      </c>
      <c r="C7" s="228" t="s">
        <v>1520</v>
      </c>
      <c r="E7" s="229" t="s">
        <v>1549</v>
      </c>
      <c r="J7" s="228" t="s">
        <v>249</v>
      </c>
      <c r="K7" s="228">
        <v>7</v>
      </c>
    </row>
    <row r="8" spans="1:11" x14ac:dyDescent="0.25">
      <c r="A8" s="228" t="s">
        <v>1505</v>
      </c>
      <c r="C8" s="228" t="s">
        <v>1504</v>
      </c>
      <c r="E8" s="229" t="s">
        <v>1548</v>
      </c>
      <c r="J8" s="228" t="s">
        <v>254</v>
      </c>
      <c r="K8" s="228">
        <v>8</v>
      </c>
    </row>
    <row r="9" spans="1:11" x14ac:dyDescent="0.25">
      <c r="A9" s="228" t="s">
        <v>1531</v>
      </c>
      <c r="C9" s="228" t="s">
        <v>1530</v>
      </c>
      <c r="E9" s="229" t="s">
        <v>1547</v>
      </c>
      <c r="J9" s="228" t="s">
        <v>259</v>
      </c>
      <c r="K9" s="228">
        <v>9</v>
      </c>
    </row>
    <row r="10" spans="1:11" x14ac:dyDescent="0.25">
      <c r="A10" s="228" t="s">
        <v>1537</v>
      </c>
      <c r="C10" s="228" t="s">
        <v>1536</v>
      </c>
      <c r="E10" s="229" t="s">
        <v>1546</v>
      </c>
      <c r="J10" s="228" t="s">
        <v>264</v>
      </c>
      <c r="K10" s="228">
        <v>10</v>
      </c>
    </row>
    <row r="11" spans="1:11" x14ac:dyDescent="0.25">
      <c r="A11" s="228" t="s">
        <v>1509</v>
      </c>
      <c r="C11" s="228" t="s">
        <v>1508</v>
      </c>
      <c r="J11" s="228" t="s">
        <v>269</v>
      </c>
      <c r="K11" s="228">
        <v>11</v>
      </c>
    </row>
    <row r="12" spans="1:11" x14ac:dyDescent="0.25">
      <c r="A12" s="228" t="s">
        <v>1509</v>
      </c>
      <c r="C12" s="228" t="s">
        <v>1508</v>
      </c>
      <c r="J12" s="228" t="s">
        <v>274</v>
      </c>
      <c r="K12" s="228">
        <v>12</v>
      </c>
    </row>
    <row r="13" spans="1:11" x14ac:dyDescent="0.25">
      <c r="A13" s="228" t="s">
        <v>1513</v>
      </c>
      <c r="C13" s="228" t="s">
        <v>1512</v>
      </c>
    </row>
    <row r="14" spans="1:11" x14ac:dyDescent="0.25">
      <c r="A14" s="228" t="s">
        <v>1539</v>
      </c>
      <c r="C14" s="228" t="s">
        <v>1538</v>
      </c>
    </row>
    <row r="15" spans="1:11" x14ac:dyDescent="0.25">
      <c r="A15" s="228" t="s">
        <v>1543</v>
      </c>
      <c r="C15" s="228" t="s">
        <v>1542</v>
      </c>
    </row>
    <row r="16" spans="1:11" x14ac:dyDescent="0.25">
      <c r="A16" s="228" t="s">
        <v>1499</v>
      </c>
      <c r="C16" s="228" t="s">
        <v>1498</v>
      </c>
    </row>
    <row r="17" spans="1:3" x14ac:dyDescent="0.25">
      <c r="A17" s="228" t="s">
        <v>1535</v>
      </c>
      <c r="C17" s="228" t="s">
        <v>1534</v>
      </c>
    </row>
    <row r="18" spans="1:3" x14ac:dyDescent="0.25">
      <c r="A18" s="228" t="s">
        <v>1507</v>
      </c>
      <c r="C18" s="228" t="s">
        <v>1506</v>
      </c>
    </row>
    <row r="19" spans="1:3" x14ac:dyDescent="0.25">
      <c r="A19" s="228" t="s">
        <v>1543</v>
      </c>
      <c r="C19" s="228" t="s">
        <v>1542</v>
      </c>
    </row>
    <row r="20" spans="1:3" x14ac:dyDescent="0.25">
      <c r="A20" s="228" t="s">
        <v>1509</v>
      </c>
      <c r="C20" s="228" t="s">
        <v>1508</v>
      </c>
    </row>
    <row r="21" spans="1:3" x14ac:dyDescent="0.25">
      <c r="A21" s="228" t="s">
        <v>1543</v>
      </c>
      <c r="C21" s="228" t="s">
        <v>1542</v>
      </c>
    </row>
    <row r="22" spans="1:3" x14ac:dyDescent="0.25">
      <c r="A22" s="228" t="s">
        <v>1525</v>
      </c>
      <c r="C22" s="228" t="s">
        <v>1524</v>
      </c>
    </row>
    <row r="23" spans="1:3" x14ac:dyDescent="0.25">
      <c r="A23" s="228" t="s">
        <v>1511</v>
      </c>
      <c r="C23" s="228" t="s">
        <v>1510</v>
      </c>
    </row>
    <row r="24" spans="1:3" x14ac:dyDescent="0.25">
      <c r="A24" s="228" t="s">
        <v>1507</v>
      </c>
      <c r="C24" s="228" t="s">
        <v>1506</v>
      </c>
    </row>
    <row r="25" spans="1:3" x14ac:dyDescent="0.25">
      <c r="A25" s="228" t="s">
        <v>1537</v>
      </c>
      <c r="C25" s="228" t="s">
        <v>1536</v>
      </c>
    </row>
    <row r="26" spans="1:3" x14ac:dyDescent="0.25">
      <c r="A26" s="228" t="s">
        <v>1521</v>
      </c>
      <c r="C26" s="228" t="s">
        <v>1520</v>
      </c>
    </row>
    <row r="27" spans="1:3" x14ac:dyDescent="0.25">
      <c r="A27" s="228" t="s">
        <v>1539</v>
      </c>
      <c r="C27" s="228" t="s">
        <v>1538</v>
      </c>
    </row>
    <row r="28" spans="1:3" x14ac:dyDescent="0.25">
      <c r="A28" s="228" t="s">
        <v>1513</v>
      </c>
      <c r="C28" s="228" t="s">
        <v>1512</v>
      </c>
    </row>
    <row r="29" spans="1:3" x14ac:dyDescent="0.25">
      <c r="A29" s="228" t="s">
        <v>1529</v>
      </c>
      <c r="C29" s="228" t="s">
        <v>1528</v>
      </c>
    </row>
    <row r="30" spans="1:3" x14ac:dyDescent="0.25">
      <c r="A30" s="228" t="s">
        <v>1531</v>
      </c>
      <c r="C30" s="228" t="s">
        <v>1530</v>
      </c>
    </row>
    <row r="31" spans="1:3" x14ac:dyDescent="0.25">
      <c r="A31" s="228" t="s">
        <v>1543</v>
      </c>
      <c r="C31" s="228" t="s">
        <v>1542</v>
      </c>
    </row>
    <row r="32" spans="1:3" x14ac:dyDescent="0.25">
      <c r="A32" s="228" t="s">
        <v>1535</v>
      </c>
      <c r="C32" s="228" t="s">
        <v>1534</v>
      </c>
    </row>
    <row r="33" spans="1:3" x14ac:dyDescent="0.25">
      <c r="A33" s="228" t="s">
        <v>1511</v>
      </c>
      <c r="C33" s="228" t="s">
        <v>1510</v>
      </c>
    </row>
    <row r="34" spans="1:3" x14ac:dyDescent="0.25">
      <c r="A34" s="228" t="s">
        <v>1545</v>
      </c>
      <c r="C34" s="228" t="s">
        <v>1544</v>
      </c>
    </row>
    <row r="35" spans="1:3" x14ac:dyDescent="0.25">
      <c r="A35" s="228" t="s">
        <v>1525</v>
      </c>
      <c r="C35" s="228" t="s">
        <v>1524</v>
      </c>
    </row>
    <row r="36" spans="1:3" x14ac:dyDescent="0.25">
      <c r="A36" s="228" t="s">
        <v>1521</v>
      </c>
      <c r="C36" s="228" t="s">
        <v>1520</v>
      </c>
    </row>
    <row r="37" spans="1:3" x14ac:dyDescent="0.25">
      <c r="A37" s="228" t="s">
        <v>1507</v>
      </c>
      <c r="C37" s="228" t="s">
        <v>1506</v>
      </c>
    </row>
    <row r="38" spans="1:3" x14ac:dyDescent="0.25">
      <c r="A38" s="228" t="s">
        <v>1521</v>
      </c>
      <c r="C38" s="228" t="s">
        <v>1520</v>
      </c>
    </row>
    <row r="39" spans="1:3" x14ac:dyDescent="0.25">
      <c r="A39" s="228" t="s">
        <v>1523</v>
      </c>
      <c r="C39" s="228" t="s">
        <v>1522</v>
      </c>
    </row>
    <row r="40" spans="1:3" x14ac:dyDescent="0.25">
      <c r="A40" s="228" t="s">
        <v>1503</v>
      </c>
      <c r="C40" s="228" t="s">
        <v>1502</v>
      </c>
    </row>
    <row r="41" spans="1:3" x14ac:dyDescent="0.25">
      <c r="A41" s="228" t="s">
        <v>1529</v>
      </c>
      <c r="C41" s="228" t="s">
        <v>1528</v>
      </c>
    </row>
    <row r="42" spans="1:3" x14ac:dyDescent="0.25">
      <c r="A42" s="228" t="s">
        <v>1509</v>
      </c>
      <c r="C42" s="228" t="s">
        <v>1508</v>
      </c>
    </row>
    <row r="43" spans="1:3" x14ac:dyDescent="0.25">
      <c r="A43" s="228" t="s">
        <v>1499</v>
      </c>
      <c r="C43" s="228" t="s">
        <v>1498</v>
      </c>
    </row>
    <row r="44" spans="1:3" x14ac:dyDescent="0.25">
      <c r="A44" s="228" t="s">
        <v>1513</v>
      </c>
      <c r="C44" s="228" t="s">
        <v>1512</v>
      </c>
    </row>
    <row r="45" spans="1:3" x14ac:dyDescent="0.25">
      <c r="A45" s="228" t="s">
        <v>1539</v>
      </c>
      <c r="C45" s="228" t="s">
        <v>1538</v>
      </c>
    </row>
    <row r="46" spans="1:3" x14ac:dyDescent="0.25">
      <c r="A46" s="228" t="s">
        <v>1537</v>
      </c>
      <c r="C46" s="228" t="s">
        <v>1536</v>
      </c>
    </row>
    <row r="47" spans="1:3" x14ac:dyDescent="0.25">
      <c r="A47" s="228" t="s">
        <v>1503</v>
      </c>
      <c r="C47" s="228" t="s">
        <v>1502</v>
      </c>
    </row>
    <row r="48" spans="1:3" x14ac:dyDescent="0.25">
      <c r="A48" s="228" t="s">
        <v>1535</v>
      </c>
      <c r="C48" s="228" t="s">
        <v>1534</v>
      </c>
    </row>
    <row r="49" spans="1:3" x14ac:dyDescent="0.25">
      <c r="A49" s="228" t="s">
        <v>1537</v>
      </c>
      <c r="C49" s="228" t="s">
        <v>1536</v>
      </c>
    </row>
    <row r="50" spans="1:3" x14ac:dyDescent="0.25">
      <c r="A50" s="228" t="s">
        <v>1515</v>
      </c>
      <c r="C50" s="228" t="s">
        <v>1514</v>
      </c>
    </row>
    <row r="51" spans="1:3" x14ac:dyDescent="0.25">
      <c r="A51" s="228" t="s">
        <v>1515</v>
      </c>
      <c r="C51" s="228" t="s">
        <v>1514</v>
      </c>
    </row>
    <row r="52" spans="1:3" x14ac:dyDescent="0.25">
      <c r="A52" s="228" t="s">
        <v>1515</v>
      </c>
      <c r="C52" s="228" t="s">
        <v>1514</v>
      </c>
    </row>
    <row r="53" spans="1:3" x14ac:dyDescent="0.25">
      <c r="A53" s="228" t="s">
        <v>1503</v>
      </c>
      <c r="C53" s="228" t="s">
        <v>1502</v>
      </c>
    </row>
    <row r="54" spans="1:3" x14ac:dyDescent="0.25">
      <c r="A54" s="228" t="s">
        <v>1499</v>
      </c>
      <c r="C54" s="228" t="s">
        <v>1498</v>
      </c>
    </row>
    <row r="55" spans="1:3" x14ac:dyDescent="0.25">
      <c r="A55" s="228" t="s">
        <v>1505</v>
      </c>
      <c r="C55" s="228" t="s">
        <v>1504</v>
      </c>
    </row>
    <row r="56" spans="1:3" x14ac:dyDescent="0.25">
      <c r="A56" s="228" t="s">
        <v>1505</v>
      </c>
      <c r="C56" s="228" t="s">
        <v>1504</v>
      </c>
    </row>
    <row r="57" spans="1:3" x14ac:dyDescent="0.25">
      <c r="A57" s="228" t="s">
        <v>1499</v>
      </c>
      <c r="C57" s="228" t="s">
        <v>1498</v>
      </c>
    </row>
    <row r="58" spans="1:3" x14ac:dyDescent="0.25">
      <c r="A58" s="228" t="s">
        <v>1501</v>
      </c>
      <c r="C58" s="228" t="s">
        <v>1500</v>
      </c>
    </row>
    <row r="59" spans="1:3" x14ac:dyDescent="0.25">
      <c r="A59" s="228" t="s">
        <v>1517</v>
      </c>
      <c r="C59" s="228" t="s">
        <v>1516</v>
      </c>
    </row>
    <row r="60" spans="1:3" x14ac:dyDescent="0.25">
      <c r="A60" s="228" t="s">
        <v>1539</v>
      </c>
      <c r="C60" s="228" t="s">
        <v>1538</v>
      </c>
    </row>
    <row r="61" spans="1:3" x14ac:dyDescent="0.25">
      <c r="A61" s="228" t="s">
        <v>1521</v>
      </c>
      <c r="C61" s="228" t="s">
        <v>1520</v>
      </c>
    </row>
    <row r="62" spans="1:3" x14ac:dyDescent="0.25">
      <c r="A62" s="228" t="s">
        <v>1517</v>
      </c>
      <c r="C62" s="228" t="s">
        <v>1516</v>
      </c>
    </row>
    <row r="63" spans="1:3" x14ac:dyDescent="0.25">
      <c r="A63" s="228" t="s">
        <v>1537</v>
      </c>
      <c r="C63" s="228" t="s">
        <v>1536</v>
      </c>
    </row>
    <row r="64" spans="1:3" x14ac:dyDescent="0.25">
      <c r="A64" s="228" t="s">
        <v>1519</v>
      </c>
      <c r="C64" s="228" t="s">
        <v>1518</v>
      </c>
    </row>
    <row r="65" spans="1:3" x14ac:dyDescent="0.25">
      <c r="A65" s="228" t="s">
        <v>1531</v>
      </c>
      <c r="C65" s="228" t="s">
        <v>1530</v>
      </c>
    </row>
    <row r="66" spans="1:3" x14ac:dyDescent="0.25">
      <c r="A66" s="228" t="s">
        <v>1533</v>
      </c>
      <c r="C66" s="228" t="s">
        <v>1532</v>
      </c>
    </row>
    <row r="67" spans="1:3" x14ac:dyDescent="0.25">
      <c r="A67" s="228" t="s">
        <v>1533</v>
      </c>
      <c r="C67" s="228" t="s">
        <v>1532</v>
      </c>
    </row>
    <row r="68" spans="1:3" x14ac:dyDescent="0.25">
      <c r="A68" s="228" t="s">
        <v>1535</v>
      </c>
      <c r="C68" s="228" t="s">
        <v>1534</v>
      </c>
    </row>
    <row r="69" spans="1:3" x14ac:dyDescent="0.25">
      <c r="A69" s="228" t="s">
        <v>1545</v>
      </c>
      <c r="C69" s="228" t="s">
        <v>1544</v>
      </c>
    </row>
    <row r="70" spans="1:3" x14ac:dyDescent="0.25">
      <c r="A70" s="228" t="s">
        <v>1537</v>
      </c>
      <c r="C70" s="228" t="s">
        <v>1536</v>
      </c>
    </row>
    <row r="71" spans="1:3" x14ac:dyDescent="0.25">
      <c r="A71" s="228" t="s">
        <v>1515</v>
      </c>
      <c r="C71" s="228" t="s">
        <v>1514</v>
      </c>
    </row>
    <row r="72" spans="1:3" x14ac:dyDescent="0.25">
      <c r="A72" s="228" t="s">
        <v>1535</v>
      </c>
      <c r="C72" s="228" t="s">
        <v>1534</v>
      </c>
    </row>
    <row r="73" spans="1:3" x14ac:dyDescent="0.25">
      <c r="A73" s="228" t="s">
        <v>1505</v>
      </c>
      <c r="C73" s="228" t="s">
        <v>1504</v>
      </c>
    </row>
    <row r="74" spans="1:3" x14ac:dyDescent="0.25">
      <c r="A74" s="228" t="s">
        <v>1537</v>
      </c>
      <c r="C74" s="228" t="s">
        <v>1536</v>
      </c>
    </row>
    <row r="75" spans="1:3" x14ac:dyDescent="0.25">
      <c r="A75" s="228" t="s">
        <v>1541</v>
      </c>
      <c r="C75" s="228" t="s">
        <v>1540</v>
      </c>
    </row>
    <row r="76" spans="1:3" x14ac:dyDescent="0.25">
      <c r="A76" s="228" t="s">
        <v>1539</v>
      </c>
      <c r="C76" s="228" t="s">
        <v>1538</v>
      </c>
    </row>
    <row r="77" spans="1:3" x14ac:dyDescent="0.25">
      <c r="A77" s="228" t="s">
        <v>1515</v>
      </c>
      <c r="C77" s="228" t="s">
        <v>1514</v>
      </c>
    </row>
    <row r="78" spans="1:3" x14ac:dyDescent="0.25">
      <c r="A78" s="228" t="s">
        <v>1543</v>
      </c>
      <c r="C78" s="228" t="s">
        <v>1542</v>
      </c>
    </row>
    <row r="79" spans="1:3" x14ac:dyDescent="0.25">
      <c r="A79" s="228" t="s">
        <v>1541</v>
      </c>
      <c r="C79" s="228" t="s">
        <v>1540</v>
      </c>
    </row>
    <row r="80" spans="1:3" x14ac:dyDescent="0.25">
      <c r="A80" s="228" t="s">
        <v>1529</v>
      </c>
      <c r="C80" s="228" t="s">
        <v>1528</v>
      </c>
    </row>
    <row r="81" spans="1:3" x14ac:dyDescent="0.25">
      <c r="A81" s="228" t="s">
        <v>1511</v>
      </c>
      <c r="C81" s="228" t="s">
        <v>1510</v>
      </c>
    </row>
    <row r="82" spans="1:3" x14ac:dyDescent="0.25">
      <c r="A82" s="228" t="s">
        <v>1535</v>
      </c>
      <c r="C82" s="228" t="s">
        <v>1534</v>
      </c>
    </row>
    <row r="83" spans="1:3" x14ac:dyDescent="0.25">
      <c r="A83" s="228" t="s">
        <v>1513</v>
      </c>
      <c r="C83" s="228" t="s">
        <v>1512</v>
      </c>
    </row>
    <row r="84" spans="1:3" x14ac:dyDescent="0.25">
      <c r="A84" s="228" t="s">
        <v>1535</v>
      </c>
      <c r="C84" s="228" t="s">
        <v>1534</v>
      </c>
    </row>
    <row r="85" spans="1:3" x14ac:dyDescent="0.25">
      <c r="A85" s="228" t="s">
        <v>1507</v>
      </c>
      <c r="C85" s="228" t="s">
        <v>1506</v>
      </c>
    </row>
    <row r="86" spans="1:3" x14ac:dyDescent="0.25">
      <c r="A86" s="228" t="s">
        <v>1505</v>
      </c>
      <c r="C86" s="228" t="s">
        <v>1504</v>
      </c>
    </row>
    <row r="87" spans="1:3" x14ac:dyDescent="0.25">
      <c r="A87" s="228" t="s">
        <v>1529</v>
      </c>
      <c r="C87" s="228" t="s">
        <v>1528</v>
      </c>
    </row>
    <row r="88" spans="1:3" x14ac:dyDescent="0.25">
      <c r="A88" s="228" t="s">
        <v>1543</v>
      </c>
      <c r="C88" s="228" t="s">
        <v>1542</v>
      </c>
    </row>
    <row r="89" spans="1:3" x14ac:dyDescent="0.25">
      <c r="A89" s="228" t="s">
        <v>1505</v>
      </c>
      <c r="C89" s="228" t="s">
        <v>1504</v>
      </c>
    </row>
    <row r="90" spans="1:3" x14ac:dyDescent="0.25">
      <c r="A90" s="228" t="s">
        <v>1503</v>
      </c>
      <c r="C90" s="228" t="s">
        <v>1502</v>
      </c>
    </row>
    <row r="91" spans="1:3" x14ac:dyDescent="0.25">
      <c r="A91" s="228" t="s">
        <v>1501</v>
      </c>
      <c r="C91" s="228" t="s">
        <v>1500</v>
      </c>
    </row>
    <row r="92" spans="1:3" x14ac:dyDescent="0.25">
      <c r="A92" s="228" t="s">
        <v>1519</v>
      </c>
      <c r="C92" s="228" t="s">
        <v>1518</v>
      </c>
    </row>
    <row r="93" spans="1:3" x14ac:dyDescent="0.25">
      <c r="A93" s="228" t="s">
        <v>1531</v>
      </c>
      <c r="C93" s="228" t="s">
        <v>1530</v>
      </c>
    </row>
    <row r="94" spans="1:3" x14ac:dyDescent="0.25">
      <c r="A94" s="228" t="s">
        <v>1539</v>
      </c>
      <c r="C94" s="228" t="s">
        <v>1538</v>
      </c>
    </row>
    <row r="95" spans="1:3" x14ac:dyDescent="0.25">
      <c r="A95" s="228" t="s">
        <v>1541</v>
      </c>
      <c r="C95" s="228" t="s">
        <v>1540</v>
      </c>
    </row>
    <row r="96" spans="1:3" x14ac:dyDescent="0.25">
      <c r="A96" s="228" t="s">
        <v>1515</v>
      </c>
      <c r="C96" s="228" t="s">
        <v>1514</v>
      </c>
    </row>
    <row r="97" spans="1:3" x14ac:dyDescent="0.25">
      <c r="A97" s="228" t="s">
        <v>1513</v>
      </c>
      <c r="C97" s="228" t="s">
        <v>1512</v>
      </c>
    </row>
    <row r="98" spans="1:3" x14ac:dyDescent="0.25">
      <c r="A98" s="228" t="s">
        <v>1523</v>
      </c>
      <c r="C98" s="228" t="s">
        <v>1522</v>
      </c>
    </row>
    <row r="99" spans="1:3" x14ac:dyDescent="0.25">
      <c r="A99" s="228" t="s">
        <v>1531</v>
      </c>
      <c r="C99" s="228" t="s">
        <v>1530</v>
      </c>
    </row>
    <row r="100" spans="1:3" x14ac:dyDescent="0.25">
      <c r="A100" s="228" t="s">
        <v>1529</v>
      </c>
      <c r="C100" s="228" t="s">
        <v>1528</v>
      </c>
    </row>
    <row r="101" spans="1:3" x14ac:dyDescent="0.25">
      <c r="A101" s="228" t="s">
        <v>1503</v>
      </c>
      <c r="C101" s="228" t="s">
        <v>1502</v>
      </c>
    </row>
    <row r="102" spans="1:3" x14ac:dyDescent="0.25">
      <c r="A102" s="228" t="s">
        <v>1513</v>
      </c>
      <c r="C102" s="228" t="s">
        <v>1512</v>
      </c>
    </row>
    <row r="103" spans="1:3" x14ac:dyDescent="0.25">
      <c r="A103" s="228" t="s">
        <v>1525</v>
      </c>
      <c r="C103" s="228" t="s">
        <v>1524</v>
      </c>
    </row>
    <row r="104" spans="1:3" x14ac:dyDescent="0.25">
      <c r="A104" s="228" t="s">
        <v>1501</v>
      </c>
      <c r="C104" s="228" t="s">
        <v>1500</v>
      </c>
    </row>
    <row r="105" spans="1:3" x14ac:dyDescent="0.25">
      <c r="A105" s="228" t="s">
        <v>1509</v>
      </c>
      <c r="C105" s="228" t="s">
        <v>1508</v>
      </c>
    </row>
    <row r="106" spans="1:3" x14ac:dyDescent="0.25">
      <c r="A106" s="228" t="s">
        <v>1513</v>
      </c>
      <c r="C106" s="228" t="s">
        <v>1512</v>
      </c>
    </row>
    <row r="107" spans="1:3" x14ac:dyDescent="0.25">
      <c r="A107" s="228" t="s">
        <v>1535</v>
      </c>
      <c r="C107" s="228" t="s">
        <v>1534</v>
      </c>
    </row>
    <row r="108" spans="1:3" x14ac:dyDescent="0.25">
      <c r="A108" s="228" t="s">
        <v>1545</v>
      </c>
      <c r="C108" s="228" t="s">
        <v>1544</v>
      </c>
    </row>
    <row r="109" spans="1:3" x14ac:dyDescent="0.25">
      <c r="A109" s="228" t="s">
        <v>1503</v>
      </c>
      <c r="C109" s="228" t="s">
        <v>1502</v>
      </c>
    </row>
    <row r="110" spans="1:3" x14ac:dyDescent="0.25">
      <c r="A110" s="228" t="s">
        <v>1545</v>
      </c>
      <c r="C110" s="228" t="s">
        <v>1544</v>
      </c>
    </row>
    <row r="111" spans="1:3" x14ac:dyDescent="0.25">
      <c r="A111" s="228" t="s">
        <v>1543</v>
      </c>
      <c r="C111" s="228" t="s">
        <v>1542</v>
      </c>
    </row>
    <row r="112" spans="1:3" x14ac:dyDescent="0.25">
      <c r="A112" s="228" t="s">
        <v>1535</v>
      </c>
      <c r="C112" s="228" t="s">
        <v>1534</v>
      </c>
    </row>
    <row r="113" spans="1:3" x14ac:dyDescent="0.25">
      <c r="A113" s="228" t="s">
        <v>1539</v>
      </c>
      <c r="C113" s="228" t="s">
        <v>1538</v>
      </c>
    </row>
    <row r="114" spans="1:3" x14ac:dyDescent="0.25">
      <c r="A114" s="228" t="s">
        <v>1529</v>
      </c>
      <c r="C114" s="228" t="s">
        <v>1528</v>
      </c>
    </row>
    <row r="115" spans="1:3" x14ac:dyDescent="0.25">
      <c r="A115" s="228" t="s">
        <v>1521</v>
      </c>
      <c r="C115" s="228" t="s">
        <v>1520</v>
      </c>
    </row>
    <row r="116" spans="1:3" x14ac:dyDescent="0.25">
      <c r="A116" s="228" t="s">
        <v>1521</v>
      </c>
      <c r="C116" s="228" t="s">
        <v>1520</v>
      </c>
    </row>
    <row r="117" spans="1:3" x14ac:dyDescent="0.25">
      <c r="A117" s="228" t="s">
        <v>1499</v>
      </c>
      <c r="C117" s="228" t="s">
        <v>1498</v>
      </c>
    </row>
    <row r="118" spans="1:3" x14ac:dyDescent="0.25">
      <c r="A118" s="228" t="s">
        <v>1505</v>
      </c>
      <c r="C118" s="228" t="s">
        <v>1504</v>
      </c>
    </row>
    <row r="119" spans="1:3" x14ac:dyDescent="0.25">
      <c r="A119" s="228" t="s">
        <v>1517</v>
      </c>
      <c r="C119" s="228" t="s">
        <v>1516</v>
      </c>
    </row>
    <row r="120" spans="1:3" x14ac:dyDescent="0.25">
      <c r="A120" s="228" t="s">
        <v>1503</v>
      </c>
      <c r="C120" s="228" t="s">
        <v>1502</v>
      </c>
    </row>
    <row r="121" spans="1:3" x14ac:dyDescent="0.25">
      <c r="A121" s="228" t="s">
        <v>1517</v>
      </c>
      <c r="C121" s="228" t="s">
        <v>1516</v>
      </c>
    </row>
    <row r="122" spans="1:3" x14ac:dyDescent="0.25">
      <c r="A122" s="228" t="s">
        <v>1543</v>
      </c>
      <c r="C122" s="228" t="s">
        <v>1542</v>
      </c>
    </row>
    <row r="123" spans="1:3" x14ac:dyDescent="0.25">
      <c r="A123" s="228" t="s">
        <v>1535</v>
      </c>
      <c r="C123" s="228" t="s">
        <v>1534</v>
      </c>
    </row>
    <row r="124" spans="1:3" x14ac:dyDescent="0.25">
      <c r="A124" s="228" t="s">
        <v>1529</v>
      </c>
      <c r="C124" s="228" t="s">
        <v>1528</v>
      </c>
    </row>
    <row r="125" spans="1:3" x14ac:dyDescent="0.25">
      <c r="A125" s="228" t="s">
        <v>1501</v>
      </c>
      <c r="C125" s="228" t="s">
        <v>1500</v>
      </c>
    </row>
    <row r="126" spans="1:3" x14ac:dyDescent="0.25">
      <c r="A126" s="228" t="s">
        <v>1541</v>
      </c>
      <c r="C126" s="228" t="s">
        <v>1540</v>
      </c>
    </row>
    <row r="127" spans="1:3" x14ac:dyDescent="0.25">
      <c r="A127" s="228" t="s">
        <v>1513</v>
      </c>
      <c r="C127" s="228" t="s">
        <v>1512</v>
      </c>
    </row>
    <row r="128" spans="1:3" x14ac:dyDescent="0.25">
      <c r="A128" s="228" t="s">
        <v>1507</v>
      </c>
      <c r="C128" s="228" t="s">
        <v>1506</v>
      </c>
    </row>
    <row r="129" spans="1:3" x14ac:dyDescent="0.25">
      <c r="A129" s="228" t="s">
        <v>1523</v>
      </c>
      <c r="C129" s="228" t="s">
        <v>1522</v>
      </c>
    </row>
    <row r="130" spans="1:3" x14ac:dyDescent="0.25">
      <c r="A130" s="228" t="s">
        <v>1509</v>
      </c>
      <c r="C130" s="228" t="s">
        <v>1508</v>
      </c>
    </row>
    <row r="131" spans="1:3" x14ac:dyDescent="0.25">
      <c r="A131" s="228" t="s">
        <v>1531</v>
      </c>
      <c r="C131" s="228" t="s">
        <v>1530</v>
      </c>
    </row>
    <row r="132" spans="1:3" x14ac:dyDescent="0.25">
      <c r="A132" s="228" t="s">
        <v>1503</v>
      </c>
      <c r="C132" s="228" t="s">
        <v>1502</v>
      </c>
    </row>
    <row r="133" spans="1:3" x14ac:dyDescent="0.25">
      <c r="A133" s="228" t="s">
        <v>1513</v>
      </c>
      <c r="C133" s="228" t="s">
        <v>1512</v>
      </c>
    </row>
    <row r="134" spans="1:3" x14ac:dyDescent="0.25">
      <c r="A134" s="228" t="s">
        <v>1503</v>
      </c>
      <c r="C134" s="228" t="s">
        <v>1502</v>
      </c>
    </row>
    <row r="135" spans="1:3" x14ac:dyDescent="0.25">
      <c r="A135" s="228" t="s">
        <v>1525</v>
      </c>
      <c r="C135" s="228" t="s">
        <v>1524</v>
      </c>
    </row>
    <row r="136" spans="1:3" x14ac:dyDescent="0.25">
      <c r="A136" s="228" t="s">
        <v>1521</v>
      </c>
      <c r="C136" s="228" t="s">
        <v>1520</v>
      </c>
    </row>
    <row r="137" spans="1:3" x14ac:dyDescent="0.25">
      <c r="A137" s="228" t="s">
        <v>1527</v>
      </c>
      <c r="C137" s="228" t="s">
        <v>1526</v>
      </c>
    </row>
    <row r="138" spans="1:3" x14ac:dyDescent="0.25">
      <c r="A138" s="228" t="s">
        <v>1543</v>
      </c>
      <c r="C138" s="228" t="s">
        <v>1542</v>
      </c>
    </row>
    <row r="139" spans="1:3" x14ac:dyDescent="0.25">
      <c r="A139" s="228" t="s">
        <v>1533</v>
      </c>
      <c r="C139" s="228" t="s">
        <v>1532</v>
      </c>
    </row>
    <row r="140" spans="1:3" x14ac:dyDescent="0.25">
      <c r="A140" s="228" t="s">
        <v>1507</v>
      </c>
      <c r="C140" s="228" t="s">
        <v>1506</v>
      </c>
    </row>
    <row r="141" spans="1:3" x14ac:dyDescent="0.25">
      <c r="A141" s="228" t="s">
        <v>1525</v>
      </c>
      <c r="C141" s="228" t="s">
        <v>1524</v>
      </c>
    </row>
    <row r="142" spans="1:3" x14ac:dyDescent="0.25">
      <c r="A142" s="228" t="s">
        <v>1509</v>
      </c>
      <c r="C142" s="228" t="s">
        <v>1508</v>
      </c>
    </row>
    <row r="143" spans="1:3" x14ac:dyDescent="0.25">
      <c r="A143" s="228" t="s">
        <v>1531</v>
      </c>
      <c r="C143" s="228" t="s">
        <v>1530</v>
      </c>
    </row>
    <row r="144" spans="1:3" x14ac:dyDescent="0.25">
      <c r="A144" s="228" t="s">
        <v>1525</v>
      </c>
      <c r="C144" s="228" t="s">
        <v>1524</v>
      </c>
    </row>
    <row r="145" spans="1:3" x14ac:dyDescent="0.25">
      <c r="A145" s="228" t="s">
        <v>1527</v>
      </c>
      <c r="C145" s="228" t="s">
        <v>1526</v>
      </c>
    </row>
    <row r="146" spans="1:3" x14ac:dyDescent="0.25">
      <c r="A146" s="228" t="s">
        <v>1521</v>
      </c>
      <c r="C146" s="228" t="s">
        <v>1520</v>
      </c>
    </row>
    <row r="147" spans="1:3" x14ac:dyDescent="0.25">
      <c r="A147" s="228" t="s">
        <v>1525</v>
      </c>
      <c r="C147" s="228" t="s">
        <v>1524</v>
      </c>
    </row>
    <row r="148" spans="1:3" x14ac:dyDescent="0.25">
      <c r="A148" s="228" t="s">
        <v>1545</v>
      </c>
      <c r="C148" s="228" t="s">
        <v>1544</v>
      </c>
    </row>
    <row r="149" spans="1:3" x14ac:dyDescent="0.25">
      <c r="A149" s="228" t="s">
        <v>1531</v>
      </c>
      <c r="C149" s="228" t="s">
        <v>1530</v>
      </c>
    </row>
    <row r="150" spans="1:3" x14ac:dyDescent="0.25">
      <c r="A150" s="228" t="s">
        <v>1519</v>
      </c>
      <c r="C150" s="228" t="s">
        <v>1518</v>
      </c>
    </row>
    <row r="151" spans="1:3" x14ac:dyDescent="0.25">
      <c r="A151" s="228" t="s">
        <v>1519</v>
      </c>
      <c r="C151" s="228" t="s">
        <v>1518</v>
      </c>
    </row>
    <row r="152" spans="1:3" x14ac:dyDescent="0.25">
      <c r="A152" s="228" t="s">
        <v>1517</v>
      </c>
      <c r="C152" s="228" t="s">
        <v>1516</v>
      </c>
    </row>
    <row r="153" spans="1:3" x14ac:dyDescent="0.25">
      <c r="A153" s="228" t="s">
        <v>1537</v>
      </c>
      <c r="C153" s="228" t="s">
        <v>1536</v>
      </c>
    </row>
    <row r="154" spans="1:3" x14ac:dyDescent="0.25">
      <c r="A154" s="228" t="s">
        <v>1523</v>
      </c>
      <c r="C154" s="228" t="s">
        <v>1522</v>
      </c>
    </row>
    <row r="155" spans="1:3" x14ac:dyDescent="0.25">
      <c r="A155" s="228" t="s">
        <v>1545</v>
      </c>
      <c r="C155" s="228" t="s">
        <v>1544</v>
      </c>
    </row>
    <row r="156" spans="1:3" x14ac:dyDescent="0.25">
      <c r="A156" s="228" t="s">
        <v>1503</v>
      </c>
      <c r="C156" s="228" t="s">
        <v>1502</v>
      </c>
    </row>
    <row r="157" spans="1:3" x14ac:dyDescent="0.25">
      <c r="A157" s="228" t="s">
        <v>1503</v>
      </c>
      <c r="C157" s="228" t="s">
        <v>1502</v>
      </c>
    </row>
    <row r="158" spans="1:3" x14ac:dyDescent="0.25">
      <c r="A158" s="228" t="s">
        <v>1521</v>
      </c>
      <c r="C158" s="228" t="s">
        <v>1520</v>
      </c>
    </row>
    <row r="159" spans="1:3" x14ac:dyDescent="0.25">
      <c r="A159" s="228" t="s">
        <v>1527</v>
      </c>
      <c r="C159" s="228" t="s">
        <v>1526</v>
      </c>
    </row>
    <row r="160" spans="1:3" x14ac:dyDescent="0.25">
      <c r="A160" s="228" t="s">
        <v>1517</v>
      </c>
      <c r="C160" s="228" t="s">
        <v>1516</v>
      </c>
    </row>
    <row r="161" spans="1:3" x14ac:dyDescent="0.25">
      <c r="A161" s="228" t="s">
        <v>1499</v>
      </c>
      <c r="C161" s="228" t="s">
        <v>1498</v>
      </c>
    </row>
    <row r="162" spans="1:3" x14ac:dyDescent="0.25">
      <c r="A162" s="228" t="s">
        <v>1507</v>
      </c>
      <c r="C162" s="228" t="s">
        <v>1506</v>
      </c>
    </row>
    <row r="163" spans="1:3" x14ac:dyDescent="0.25">
      <c r="A163" s="228" t="s">
        <v>1503</v>
      </c>
      <c r="C163" s="228" t="s">
        <v>1502</v>
      </c>
    </row>
    <row r="164" spans="1:3" x14ac:dyDescent="0.25">
      <c r="A164" s="228" t="s">
        <v>1535</v>
      </c>
      <c r="C164" s="228" t="s">
        <v>1534</v>
      </c>
    </row>
    <row r="165" spans="1:3" x14ac:dyDescent="0.25">
      <c r="A165" s="228" t="s">
        <v>1513</v>
      </c>
      <c r="C165" s="228" t="s">
        <v>1512</v>
      </c>
    </row>
    <row r="166" spans="1:3" x14ac:dyDescent="0.25">
      <c r="A166" s="228" t="s">
        <v>1529</v>
      </c>
      <c r="C166" s="228" t="s">
        <v>1528</v>
      </c>
    </row>
    <row r="167" spans="1:3" x14ac:dyDescent="0.25">
      <c r="A167" s="228" t="s">
        <v>1509</v>
      </c>
      <c r="C167" s="228" t="s">
        <v>1508</v>
      </c>
    </row>
    <row r="168" spans="1:3" x14ac:dyDescent="0.25">
      <c r="A168" s="228" t="s">
        <v>1537</v>
      </c>
      <c r="C168" s="228" t="s">
        <v>1536</v>
      </c>
    </row>
    <row r="169" spans="1:3" x14ac:dyDescent="0.25">
      <c r="A169" s="228" t="s">
        <v>1529</v>
      </c>
      <c r="C169" s="228" t="s">
        <v>1528</v>
      </c>
    </row>
    <row r="170" spans="1:3" x14ac:dyDescent="0.25">
      <c r="A170" s="228" t="s">
        <v>1503</v>
      </c>
      <c r="C170" s="228" t="s">
        <v>1502</v>
      </c>
    </row>
    <row r="171" spans="1:3" x14ac:dyDescent="0.25">
      <c r="A171" s="228" t="s">
        <v>1515</v>
      </c>
      <c r="C171" s="228" t="s">
        <v>1514</v>
      </c>
    </row>
    <row r="172" spans="1:3" x14ac:dyDescent="0.25">
      <c r="A172" s="228" t="s">
        <v>1543</v>
      </c>
      <c r="C172" s="228" t="s">
        <v>1542</v>
      </c>
    </row>
    <row r="173" spans="1:3" x14ac:dyDescent="0.25">
      <c r="A173" s="228" t="s">
        <v>1537</v>
      </c>
      <c r="C173" s="228" t="s">
        <v>1536</v>
      </c>
    </row>
    <row r="174" spans="1:3" x14ac:dyDescent="0.25">
      <c r="A174" s="228" t="s">
        <v>1533</v>
      </c>
      <c r="C174" s="228" t="s">
        <v>1532</v>
      </c>
    </row>
    <row r="175" spans="1:3" x14ac:dyDescent="0.25">
      <c r="A175" s="228" t="s">
        <v>1527</v>
      </c>
      <c r="C175" s="228" t="s">
        <v>1526</v>
      </c>
    </row>
    <row r="176" spans="1:3" x14ac:dyDescent="0.25">
      <c r="A176" s="228" t="s">
        <v>1519</v>
      </c>
      <c r="C176" s="228" t="s">
        <v>1518</v>
      </c>
    </row>
    <row r="177" spans="1:3" x14ac:dyDescent="0.25">
      <c r="A177" s="228" t="s">
        <v>1511</v>
      </c>
      <c r="C177" s="228" t="s">
        <v>1510</v>
      </c>
    </row>
    <row r="178" spans="1:3" x14ac:dyDescent="0.25">
      <c r="A178" s="228" t="s">
        <v>1531</v>
      </c>
      <c r="C178" s="228" t="s">
        <v>1530</v>
      </c>
    </row>
    <row r="179" spans="1:3" x14ac:dyDescent="0.25">
      <c r="A179" s="228" t="s">
        <v>1517</v>
      </c>
      <c r="C179" s="228" t="s">
        <v>1516</v>
      </c>
    </row>
    <row r="180" spans="1:3" x14ac:dyDescent="0.25">
      <c r="A180" s="228" t="s">
        <v>1537</v>
      </c>
      <c r="C180" s="228" t="s">
        <v>1536</v>
      </c>
    </row>
    <row r="181" spans="1:3" x14ac:dyDescent="0.25">
      <c r="A181" s="228" t="s">
        <v>1499</v>
      </c>
      <c r="C181" s="228" t="s">
        <v>1498</v>
      </c>
    </row>
    <row r="182" spans="1:3" x14ac:dyDescent="0.25">
      <c r="A182" s="228" t="s">
        <v>1507</v>
      </c>
      <c r="C182" s="228" t="s">
        <v>1506</v>
      </c>
    </row>
    <row r="183" spans="1:3" x14ac:dyDescent="0.25">
      <c r="A183" s="228" t="s">
        <v>1509</v>
      </c>
      <c r="C183" s="228" t="s">
        <v>1508</v>
      </c>
    </row>
    <row r="184" spans="1:3" x14ac:dyDescent="0.25">
      <c r="A184" s="228" t="s">
        <v>1507</v>
      </c>
      <c r="C184" s="228" t="s">
        <v>1506</v>
      </c>
    </row>
    <row r="185" spans="1:3" x14ac:dyDescent="0.25">
      <c r="A185" s="228" t="s">
        <v>1531</v>
      </c>
      <c r="C185" s="228" t="s">
        <v>1530</v>
      </c>
    </row>
    <row r="186" spans="1:3" x14ac:dyDescent="0.25">
      <c r="A186" s="228" t="s">
        <v>1517</v>
      </c>
      <c r="C186" s="228" t="s">
        <v>1516</v>
      </c>
    </row>
    <row r="187" spans="1:3" x14ac:dyDescent="0.25">
      <c r="A187" s="228" t="s">
        <v>1539</v>
      </c>
      <c r="C187" s="228" t="s">
        <v>1538</v>
      </c>
    </row>
    <row r="188" spans="1:3" x14ac:dyDescent="0.25">
      <c r="A188" s="228" t="s">
        <v>1545</v>
      </c>
      <c r="C188" s="228" t="s">
        <v>1544</v>
      </c>
    </row>
    <row r="189" spans="1:3" x14ac:dyDescent="0.25">
      <c r="A189" s="228" t="s">
        <v>1501</v>
      </c>
      <c r="C189" s="228" t="s">
        <v>1500</v>
      </c>
    </row>
    <row r="190" spans="1:3" x14ac:dyDescent="0.25">
      <c r="A190" s="228" t="s">
        <v>1503</v>
      </c>
      <c r="C190" s="228" t="s">
        <v>1502</v>
      </c>
    </row>
    <row r="191" spans="1:3" x14ac:dyDescent="0.25">
      <c r="A191" s="228" t="s">
        <v>1545</v>
      </c>
      <c r="C191" s="228" t="s">
        <v>1544</v>
      </c>
    </row>
    <row r="192" spans="1:3" x14ac:dyDescent="0.25">
      <c r="A192" s="228" t="s">
        <v>1519</v>
      </c>
      <c r="C192" s="228" t="s">
        <v>1518</v>
      </c>
    </row>
    <row r="193" spans="1:3" x14ac:dyDescent="0.25">
      <c r="A193" s="228" t="s">
        <v>1529</v>
      </c>
      <c r="C193" s="228" t="s">
        <v>1528</v>
      </c>
    </row>
    <row r="194" spans="1:3" x14ac:dyDescent="0.25">
      <c r="A194" s="228" t="s">
        <v>1515</v>
      </c>
      <c r="C194" s="228" t="s">
        <v>1514</v>
      </c>
    </row>
    <row r="195" spans="1:3" x14ac:dyDescent="0.25">
      <c r="A195" s="228" t="s">
        <v>1511</v>
      </c>
      <c r="C195" s="228" t="s">
        <v>1510</v>
      </c>
    </row>
    <row r="196" spans="1:3" x14ac:dyDescent="0.25">
      <c r="A196" s="228" t="s">
        <v>1527</v>
      </c>
      <c r="C196" s="228" t="s">
        <v>1526</v>
      </c>
    </row>
    <row r="197" spans="1:3" x14ac:dyDescent="0.25">
      <c r="A197" s="228" t="s">
        <v>1539</v>
      </c>
      <c r="C197" s="228" t="s">
        <v>1538</v>
      </c>
    </row>
    <row r="198" spans="1:3" x14ac:dyDescent="0.25">
      <c r="A198" s="228" t="s">
        <v>1515</v>
      </c>
      <c r="C198" s="228" t="s">
        <v>1514</v>
      </c>
    </row>
    <row r="199" spans="1:3" x14ac:dyDescent="0.25">
      <c r="A199" s="228" t="s">
        <v>1545</v>
      </c>
      <c r="C199" s="228" t="s">
        <v>1544</v>
      </c>
    </row>
    <row r="200" spans="1:3" x14ac:dyDescent="0.25">
      <c r="A200" s="228" t="s">
        <v>1525</v>
      </c>
      <c r="C200" s="228" t="s">
        <v>1524</v>
      </c>
    </row>
    <row r="201" spans="1:3" x14ac:dyDescent="0.25">
      <c r="A201" s="228" t="s">
        <v>1533</v>
      </c>
      <c r="C201" s="228" t="s">
        <v>1532</v>
      </c>
    </row>
    <row r="202" spans="1:3" x14ac:dyDescent="0.25">
      <c r="A202" s="228" t="s">
        <v>1545</v>
      </c>
      <c r="C202" s="228" t="s">
        <v>1544</v>
      </c>
    </row>
    <row r="203" spans="1:3" x14ac:dyDescent="0.25">
      <c r="A203" s="228" t="s">
        <v>1543</v>
      </c>
      <c r="C203" s="228" t="s">
        <v>1542</v>
      </c>
    </row>
    <row r="204" spans="1:3" x14ac:dyDescent="0.25">
      <c r="A204" s="228" t="s">
        <v>1541</v>
      </c>
      <c r="C204" s="228" t="s">
        <v>1540</v>
      </c>
    </row>
    <row r="205" spans="1:3" x14ac:dyDescent="0.25">
      <c r="A205" s="228" t="s">
        <v>1535</v>
      </c>
      <c r="C205" s="228" t="s">
        <v>1534</v>
      </c>
    </row>
    <row r="206" spans="1:3" x14ac:dyDescent="0.25">
      <c r="A206" s="228" t="s">
        <v>1543</v>
      </c>
      <c r="C206" s="228" t="s">
        <v>1542</v>
      </c>
    </row>
    <row r="207" spans="1:3" x14ac:dyDescent="0.25">
      <c r="A207" s="228" t="s">
        <v>1509</v>
      </c>
      <c r="C207" s="228" t="s">
        <v>1508</v>
      </c>
    </row>
    <row r="208" spans="1:3" x14ac:dyDescent="0.25">
      <c r="A208" s="228" t="s">
        <v>1545</v>
      </c>
      <c r="C208" s="228" t="s">
        <v>1544</v>
      </c>
    </row>
    <row r="209" spans="1:3" x14ac:dyDescent="0.25">
      <c r="A209" s="228" t="s">
        <v>1499</v>
      </c>
      <c r="C209" s="228" t="s">
        <v>1498</v>
      </c>
    </row>
    <row r="210" spans="1:3" x14ac:dyDescent="0.25">
      <c r="A210" s="228" t="s">
        <v>1509</v>
      </c>
      <c r="C210" s="228" t="s">
        <v>1508</v>
      </c>
    </row>
    <row r="211" spans="1:3" x14ac:dyDescent="0.25">
      <c r="A211" s="228" t="s">
        <v>1511</v>
      </c>
      <c r="C211" s="228" t="s">
        <v>1510</v>
      </c>
    </row>
    <row r="212" spans="1:3" x14ac:dyDescent="0.25">
      <c r="A212" s="228" t="s">
        <v>1515</v>
      </c>
      <c r="C212" s="228" t="s">
        <v>1514</v>
      </c>
    </row>
    <row r="213" spans="1:3" x14ac:dyDescent="0.25">
      <c r="A213" s="228" t="s">
        <v>1523</v>
      </c>
      <c r="C213" s="228" t="s">
        <v>1522</v>
      </c>
    </row>
    <row r="214" spans="1:3" x14ac:dyDescent="0.25">
      <c r="A214" s="228" t="s">
        <v>1543</v>
      </c>
      <c r="C214" s="228" t="s">
        <v>1542</v>
      </c>
    </row>
    <row r="215" spans="1:3" x14ac:dyDescent="0.25">
      <c r="A215" s="228" t="s">
        <v>1537</v>
      </c>
      <c r="C215" s="228" t="s">
        <v>1536</v>
      </c>
    </row>
    <row r="216" spans="1:3" x14ac:dyDescent="0.25">
      <c r="A216" s="228" t="s">
        <v>1511</v>
      </c>
      <c r="C216" s="228" t="s">
        <v>1510</v>
      </c>
    </row>
    <row r="217" spans="1:3" x14ac:dyDescent="0.25">
      <c r="A217" s="228" t="s">
        <v>1503</v>
      </c>
      <c r="C217" s="228" t="s">
        <v>1502</v>
      </c>
    </row>
    <row r="218" spans="1:3" x14ac:dyDescent="0.25">
      <c r="A218" s="228" t="s">
        <v>1521</v>
      </c>
      <c r="C218" s="228" t="s">
        <v>1520</v>
      </c>
    </row>
    <row r="219" spans="1:3" x14ac:dyDescent="0.25">
      <c r="A219" s="228" t="s">
        <v>1509</v>
      </c>
      <c r="C219" s="228" t="s">
        <v>1508</v>
      </c>
    </row>
    <row r="220" spans="1:3" x14ac:dyDescent="0.25">
      <c r="A220" s="228" t="s">
        <v>1539</v>
      </c>
      <c r="C220" s="228" t="s">
        <v>1538</v>
      </c>
    </row>
    <row r="221" spans="1:3" x14ac:dyDescent="0.25">
      <c r="A221" s="228" t="s">
        <v>1533</v>
      </c>
      <c r="C221" s="228" t="s">
        <v>1532</v>
      </c>
    </row>
    <row r="222" spans="1:3" x14ac:dyDescent="0.25">
      <c r="A222" s="228" t="s">
        <v>1513</v>
      </c>
      <c r="C222" s="228" t="s">
        <v>1512</v>
      </c>
    </row>
    <row r="223" spans="1:3" x14ac:dyDescent="0.25">
      <c r="A223" s="228" t="s">
        <v>1537</v>
      </c>
      <c r="C223" s="228" t="s">
        <v>1536</v>
      </c>
    </row>
    <row r="224" spans="1:3" x14ac:dyDescent="0.25">
      <c r="A224" s="228" t="s">
        <v>1499</v>
      </c>
      <c r="C224" s="228" t="s">
        <v>1498</v>
      </c>
    </row>
    <row r="225" spans="1:3" x14ac:dyDescent="0.25">
      <c r="A225" s="228" t="s">
        <v>1501</v>
      </c>
      <c r="C225" s="228" t="s">
        <v>1500</v>
      </c>
    </row>
    <row r="226" spans="1:3" x14ac:dyDescent="0.25">
      <c r="A226" s="228" t="s">
        <v>1509</v>
      </c>
      <c r="C226" s="228" t="s">
        <v>1508</v>
      </c>
    </row>
    <row r="227" spans="1:3" x14ac:dyDescent="0.25">
      <c r="A227" s="228" t="s">
        <v>1523</v>
      </c>
      <c r="C227" s="228" t="s">
        <v>1522</v>
      </c>
    </row>
    <row r="228" spans="1:3" x14ac:dyDescent="0.25">
      <c r="A228" s="228" t="s">
        <v>1499</v>
      </c>
      <c r="C228" s="228" t="s">
        <v>1498</v>
      </c>
    </row>
    <row r="229" spans="1:3" x14ac:dyDescent="0.25">
      <c r="A229" s="228" t="s">
        <v>1499</v>
      </c>
      <c r="C229" s="228" t="s">
        <v>1498</v>
      </c>
    </row>
    <row r="230" spans="1:3" x14ac:dyDescent="0.25">
      <c r="A230" s="228" t="s">
        <v>1531</v>
      </c>
      <c r="C230" s="228" t="s">
        <v>1530</v>
      </c>
    </row>
    <row r="231" spans="1:3" x14ac:dyDescent="0.25">
      <c r="A231" s="228" t="s">
        <v>1513</v>
      </c>
      <c r="C231" s="228" t="s">
        <v>1512</v>
      </c>
    </row>
    <row r="232" spans="1:3" x14ac:dyDescent="0.25">
      <c r="A232" s="228" t="s">
        <v>1529</v>
      </c>
      <c r="C232" s="228" t="s">
        <v>1528</v>
      </c>
    </row>
    <row r="233" spans="1:3" x14ac:dyDescent="0.25">
      <c r="A233" s="228" t="s">
        <v>1499</v>
      </c>
      <c r="C233" s="228" t="s">
        <v>1498</v>
      </c>
    </row>
    <row r="234" spans="1:3" x14ac:dyDescent="0.25">
      <c r="A234" s="228" t="s">
        <v>1523</v>
      </c>
      <c r="C234" s="228" t="s">
        <v>1522</v>
      </c>
    </row>
    <row r="235" spans="1:3" x14ac:dyDescent="0.25">
      <c r="A235" s="228" t="s">
        <v>1505</v>
      </c>
      <c r="C235" s="228" t="s">
        <v>1504</v>
      </c>
    </row>
    <row r="236" spans="1:3" x14ac:dyDescent="0.25">
      <c r="A236" s="228" t="s">
        <v>1529</v>
      </c>
      <c r="C236" s="228" t="s">
        <v>1528</v>
      </c>
    </row>
    <row r="237" spans="1:3" x14ac:dyDescent="0.25">
      <c r="A237" s="228" t="s">
        <v>1511</v>
      </c>
      <c r="C237" s="228" t="s">
        <v>1510</v>
      </c>
    </row>
    <row r="238" spans="1:3" x14ac:dyDescent="0.25">
      <c r="A238" s="228" t="s">
        <v>1521</v>
      </c>
      <c r="C238" s="228" t="s">
        <v>1520</v>
      </c>
    </row>
    <row r="239" spans="1:3" x14ac:dyDescent="0.25">
      <c r="A239" s="228" t="s">
        <v>1509</v>
      </c>
      <c r="C239" s="228" t="s">
        <v>1508</v>
      </c>
    </row>
    <row r="240" spans="1:3" x14ac:dyDescent="0.25">
      <c r="A240" s="228" t="s">
        <v>1517</v>
      </c>
      <c r="C240" s="228" t="s">
        <v>1516</v>
      </c>
    </row>
    <row r="241" spans="1:3" x14ac:dyDescent="0.25">
      <c r="A241" s="228" t="s">
        <v>1501</v>
      </c>
      <c r="C241" s="228" t="s">
        <v>1500</v>
      </c>
    </row>
    <row r="242" spans="1:3" x14ac:dyDescent="0.25">
      <c r="A242" s="228" t="s">
        <v>1525</v>
      </c>
      <c r="C242" s="228" t="s">
        <v>1524</v>
      </c>
    </row>
    <row r="243" spans="1:3" x14ac:dyDescent="0.25">
      <c r="A243" s="228" t="s">
        <v>1523</v>
      </c>
      <c r="C243" s="228" t="s">
        <v>1522</v>
      </c>
    </row>
    <row r="244" spans="1:3" x14ac:dyDescent="0.25">
      <c r="A244" s="228" t="s">
        <v>1517</v>
      </c>
      <c r="C244" s="228" t="s">
        <v>1516</v>
      </c>
    </row>
    <row r="245" spans="1:3" x14ac:dyDescent="0.25">
      <c r="A245" s="228" t="s">
        <v>1517</v>
      </c>
      <c r="C245" s="228" t="s">
        <v>1516</v>
      </c>
    </row>
    <row r="246" spans="1:3" x14ac:dyDescent="0.25">
      <c r="A246" s="228" t="s">
        <v>1503</v>
      </c>
      <c r="C246" s="228" t="s">
        <v>1502</v>
      </c>
    </row>
    <row r="247" spans="1:3" x14ac:dyDescent="0.25">
      <c r="A247" s="228" t="s">
        <v>1533</v>
      </c>
      <c r="C247" s="228" t="s">
        <v>1532</v>
      </c>
    </row>
    <row r="248" spans="1:3" x14ac:dyDescent="0.25">
      <c r="A248" s="228" t="s">
        <v>1535</v>
      </c>
      <c r="C248" s="228" t="s">
        <v>1534</v>
      </c>
    </row>
    <row r="249" spans="1:3" x14ac:dyDescent="0.25">
      <c r="A249" s="228" t="s">
        <v>1519</v>
      </c>
      <c r="C249" s="228" t="s">
        <v>1518</v>
      </c>
    </row>
    <row r="250" spans="1:3" x14ac:dyDescent="0.25">
      <c r="A250" s="228" t="s">
        <v>1525</v>
      </c>
      <c r="C250" s="228" t="s">
        <v>1524</v>
      </c>
    </row>
    <row r="251" spans="1:3" x14ac:dyDescent="0.25">
      <c r="A251" s="228" t="s">
        <v>1519</v>
      </c>
      <c r="C251" s="228" t="s">
        <v>1518</v>
      </c>
    </row>
    <row r="252" spans="1:3" x14ac:dyDescent="0.25">
      <c r="A252" s="228" t="s">
        <v>1519</v>
      </c>
      <c r="C252" s="228" t="s">
        <v>1518</v>
      </c>
    </row>
    <row r="253" spans="1:3" x14ac:dyDescent="0.25">
      <c r="A253" s="228" t="s">
        <v>1509</v>
      </c>
      <c r="C253" s="228" t="s">
        <v>1508</v>
      </c>
    </row>
    <row r="254" spans="1:3" x14ac:dyDescent="0.25">
      <c r="A254" s="228" t="s">
        <v>1503</v>
      </c>
      <c r="C254" s="228" t="s">
        <v>1502</v>
      </c>
    </row>
    <row r="255" spans="1:3" x14ac:dyDescent="0.25">
      <c r="A255" s="228" t="s">
        <v>1503</v>
      </c>
      <c r="C255" s="228" t="s">
        <v>1502</v>
      </c>
    </row>
    <row r="256" spans="1:3" x14ac:dyDescent="0.25">
      <c r="A256" s="228" t="s">
        <v>1513</v>
      </c>
      <c r="C256" s="228" t="s">
        <v>1512</v>
      </c>
    </row>
    <row r="257" spans="1:3" x14ac:dyDescent="0.25">
      <c r="A257" s="228" t="s">
        <v>1541</v>
      </c>
      <c r="C257" s="228" t="s">
        <v>1540</v>
      </c>
    </row>
    <row r="258" spans="1:3" x14ac:dyDescent="0.25">
      <c r="A258" s="228" t="s">
        <v>1507</v>
      </c>
      <c r="C258" s="228" t="s">
        <v>1506</v>
      </c>
    </row>
    <row r="259" spans="1:3" x14ac:dyDescent="0.25">
      <c r="A259" s="228" t="s">
        <v>1521</v>
      </c>
      <c r="C259" s="228" t="s">
        <v>1520</v>
      </c>
    </row>
    <row r="260" spans="1:3" x14ac:dyDescent="0.25">
      <c r="A260" s="228" t="s">
        <v>1527</v>
      </c>
      <c r="C260" s="228" t="s">
        <v>1526</v>
      </c>
    </row>
    <row r="261" spans="1:3" x14ac:dyDescent="0.25">
      <c r="A261" s="228" t="s">
        <v>1535</v>
      </c>
      <c r="C261" s="228" t="s">
        <v>1534</v>
      </c>
    </row>
    <row r="262" spans="1:3" x14ac:dyDescent="0.25">
      <c r="A262" s="228" t="s">
        <v>1517</v>
      </c>
      <c r="C262" s="228" t="s">
        <v>1516</v>
      </c>
    </row>
    <row r="263" spans="1:3" x14ac:dyDescent="0.25">
      <c r="A263" s="228" t="s">
        <v>1531</v>
      </c>
      <c r="C263" s="228" t="s">
        <v>1530</v>
      </c>
    </row>
    <row r="264" spans="1:3" x14ac:dyDescent="0.25">
      <c r="A264" s="228" t="s">
        <v>1529</v>
      </c>
      <c r="C264" s="228" t="s">
        <v>1528</v>
      </c>
    </row>
    <row r="265" spans="1:3" x14ac:dyDescent="0.25">
      <c r="A265" s="228" t="s">
        <v>1505</v>
      </c>
      <c r="C265" s="228" t="s">
        <v>1504</v>
      </c>
    </row>
    <row r="266" spans="1:3" x14ac:dyDescent="0.25">
      <c r="A266" s="228" t="s">
        <v>1531</v>
      </c>
      <c r="C266" s="228" t="s">
        <v>1530</v>
      </c>
    </row>
    <row r="267" spans="1:3" x14ac:dyDescent="0.25">
      <c r="A267" s="228" t="s">
        <v>1533</v>
      </c>
      <c r="C267" s="228" t="s">
        <v>1532</v>
      </c>
    </row>
    <row r="268" spans="1:3" x14ac:dyDescent="0.25">
      <c r="A268" s="228" t="s">
        <v>1543</v>
      </c>
      <c r="C268" s="228" t="s">
        <v>1542</v>
      </c>
    </row>
    <row r="269" spans="1:3" x14ac:dyDescent="0.25">
      <c r="A269" s="228" t="s">
        <v>1503</v>
      </c>
      <c r="C269" s="228" t="s">
        <v>1502</v>
      </c>
    </row>
    <row r="270" spans="1:3" x14ac:dyDescent="0.25">
      <c r="A270" s="228" t="s">
        <v>1513</v>
      </c>
      <c r="C270" s="228" t="s">
        <v>1512</v>
      </c>
    </row>
    <row r="271" spans="1:3" x14ac:dyDescent="0.25">
      <c r="A271" s="228" t="s">
        <v>1513</v>
      </c>
      <c r="C271" s="228" t="s">
        <v>1512</v>
      </c>
    </row>
    <row r="272" spans="1:3" x14ac:dyDescent="0.25">
      <c r="A272" s="228" t="s">
        <v>1505</v>
      </c>
      <c r="C272" s="228" t="s">
        <v>1504</v>
      </c>
    </row>
    <row r="273" spans="1:3" x14ac:dyDescent="0.25">
      <c r="A273" s="228" t="s">
        <v>1545</v>
      </c>
      <c r="C273" s="228" t="s">
        <v>1544</v>
      </c>
    </row>
    <row r="274" spans="1:3" x14ac:dyDescent="0.25">
      <c r="A274" s="228" t="s">
        <v>1513</v>
      </c>
      <c r="C274" s="228" t="s">
        <v>1512</v>
      </c>
    </row>
    <row r="275" spans="1:3" x14ac:dyDescent="0.25">
      <c r="A275" s="228" t="s">
        <v>1535</v>
      </c>
      <c r="C275" s="228" t="s">
        <v>1534</v>
      </c>
    </row>
    <row r="276" spans="1:3" x14ac:dyDescent="0.25">
      <c r="A276" s="228" t="s">
        <v>1543</v>
      </c>
      <c r="C276" s="228" t="s">
        <v>1542</v>
      </c>
    </row>
    <row r="277" spans="1:3" x14ac:dyDescent="0.25">
      <c r="A277" s="228" t="s">
        <v>1505</v>
      </c>
      <c r="C277" s="228" t="s">
        <v>1504</v>
      </c>
    </row>
    <row r="278" spans="1:3" x14ac:dyDescent="0.25">
      <c r="A278" s="228" t="s">
        <v>1537</v>
      </c>
      <c r="C278" s="228" t="s">
        <v>1536</v>
      </c>
    </row>
    <row r="279" spans="1:3" x14ac:dyDescent="0.25">
      <c r="A279" s="228" t="s">
        <v>1543</v>
      </c>
      <c r="C279" s="228" t="s">
        <v>1542</v>
      </c>
    </row>
    <row r="280" spans="1:3" x14ac:dyDescent="0.25">
      <c r="A280" s="228" t="s">
        <v>1523</v>
      </c>
      <c r="C280" s="228" t="s">
        <v>1522</v>
      </c>
    </row>
    <row r="281" spans="1:3" x14ac:dyDescent="0.25">
      <c r="A281" s="228" t="s">
        <v>1503</v>
      </c>
      <c r="C281" s="228" t="s">
        <v>1502</v>
      </c>
    </row>
    <row r="282" spans="1:3" x14ac:dyDescent="0.25">
      <c r="A282" s="228" t="s">
        <v>1505</v>
      </c>
      <c r="C282" s="228" t="s">
        <v>1504</v>
      </c>
    </row>
    <row r="283" spans="1:3" x14ac:dyDescent="0.25">
      <c r="A283" s="228" t="s">
        <v>1543</v>
      </c>
      <c r="C283" s="228" t="s">
        <v>1542</v>
      </c>
    </row>
    <row r="284" spans="1:3" x14ac:dyDescent="0.25">
      <c r="A284" s="228" t="s">
        <v>1531</v>
      </c>
      <c r="C284" s="228" t="s">
        <v>1530</v>
      </c>
    </row>
    <row r="285" spans="1:3" x14ac:dyDescent="0.25">
      <c r="A285" s="228" t="s">
        <v>1517</v>
      </c>
      <c r="C285" s="228" t="s">
        <v>1516</v>
      </c>
    </row>
    <row r="286" spans="1:3" x14ac:dyDescent="0.25">
      <c r="A286" s="228" t="s">
        <v>1505</v>
      </c>
      <c r="C286" s="228" t="s">
        <v>1504</v>
      </c>
    </row>
    <row r="287" spans="1:3" x14ac:dyDescent="0.25">
      <c r="A287" s="228" t="s">
        <v>1513</v>
      </c>
      <c r="C287" s="228" t="s">
        <v>1512</v>
      </c>
    </row>
    <row r="288" spans="1:3" x14ac:dyDescent="0.25">
      <c r="A288" s="228" t="s">
        <v>1535</v>
      </c>
      <c r="C288" s="228" t="s">
        <v>1534</v>
      </c>
    </row>
    <row r="289" spans="1:3" x14ac:dyDescent="0.25">
      <c r="A289" s="228" t="s">
        <v>1499</v>
      </c>
      <c r="C289" s="228" t="s">
        <v>1498</v>
      </c>
    </row>
    <row r="290" spans="1:3" x14ac:dyDescent="0.25">
      <c r="A290" s="228" t="s">
        <v>1513</v>
      </c>
      <c r="C290" s="228" t="s">
        <v>1512</v>
      </c>
    </row>
    <row r="291" spans="1:3" x14ac:dyDescent="0.25">
      <c r="A291" s="228" t="s">
        <v>1543</v>
      </c>
      <c r="C291" s="228" t="s">
        <v>1542</v>
      </c>
    </row>
    <row r="292" spans="1:3" x14ac:dyDescent="0.25">
      <c r="A292" s="228" t="s">
        <v>1537</v>
      </c>
      <c r="C292" s="228" t="s">
        <v>1536</v>
      </c>
    </row>
    <row r="293" spans="1:3" x14ac:dyDescent="0.25">
      <c r="A293" s="228" t="s">
        <v>1505</v>
      </c>
      <c r="C293" s="228" t="s">
        <v>1504</v>
      </c>
    </row>
    <row r="294" spans="1:3" x14ac:dyDescent="0.25">
      <c r="A294" s="228" t="s">
        <v>1523</v>
      </c>
      <c r="C294" s="228" t="s">
        <v>1522</v>
      </c>
    </row>
    <row r="295" spans="1:3" x14ac:dyDescent="0.25">
      <c r="A295" s="228" t="s">
        <v>1535</v>
      </c>
      <c r="C295" s="228" t="s">
        <v>1534</v>
      </c>
    </row>
    <row r="296" spans="1:3" x14ac:dyDescent="0.25">
      <c r="A296" s="228" t="s">
        <v>1537</v>
      </c>
      <c r="C296" s="228" t="s">
        <v>1536</v>
      </c>
    </row>
    <row r="297" spans="1:3" x14ac:dyDescent="0.25">
      <c r="A297" s="228" t="s">
        <v>1501</v>
      </c>
      <c r="C297" s="228" t="s">
        <v>1500</v>
      </c>
    </row>
    <row r="298" spans="1:3" x14ac:dyDescent="0.25">
      <c r="A298" s="228" t="s">
        <v>1525</v>
      </c>
      <c r="C298" s="228" t="s">
        <v>1524</v>
      </c>
    </row>
    <row r="299" spans="1:3" x14ac:dyDescent="0.25">
      <c r="A299" s="228" t="s">
        <v>1539</v>
      </c>
      <c r="C299" s="228" t="s">
        <v>1538</v>
      </c>
    </row>
    <row r="300" spans="1:3" x14ac:dyDescent="0.25">
      <c r="A300" s="228" t="s">
        <v>1521</v>
      </c>
      <c r="C300" s="228" t="s">
        <v>1520</v>
      </c>
    </row>
    <row r="301" spans="1:3" x14ac:dyDescent="0.25">
      <c r="A301" s="228" t="s">
        <v>1523</v>
      </c>
      <c r="C301" s="228" t="s">
        <v>1522</v>
      </c>
    </row>
    <row r="302" spans="1:3" x14ac:dyDescent="0.25">
      <c r="A302" s="228" t="s">
        <v>1511</v>
      </c>
      <c r="C302" s="228" t="s">
        <v>1510</v>
      </c>
    </row>
    <row r="303" spans="1:3" x14ac:dyDescent="0.25">
      <c r="A303" s="228" t="s">
        <v>1505</v>
      </c>
      <c r="C303" s="228" t="s">
        <v>1504</v>
      </c>
    </row>
    <row r="304" spans="1:3" x14ac:dyDescent="0.25">
      <c r="A304" s="228" t="s">
        <v>1505</v>
      </c>
      <c r="C304" s="228" t="s">
        <v>1504</v>
      </c>
    </row>
    <row r="305" spans="1:3" x14ac:dyDescent="0.25">
      <c r="A305" s="228" t="s">
        <v>1531</v>
      </c>
      <c r="C305" s="228" t="s">
        <v>1530</v>
      </c>
    </row>
    <row r="306" spans="1:3" x14ac:dyDescent="0.25">
      <c r="A306" s="228" t="s">
        <v>1533</v>
      </c>
      <c r="C306" s="228" t="s">
        <v>1532</v>
      </c>
    </row>
    <row r="307" spans="1:3" x14ac:dyDescent="0.25">
      <c r="A307" s="228" t="s">
        <v>1523</v>
      </c>
      <c r="C307" s="228" t="s">
        <v>1522</v>
      </c>
    </row>
    <row r="308" spans="1:3" x14ac:dyDescent="0.25">
      <c r="A308" s="228" t="s">
        <v>1529</v>
      </c>
      <c r="C308" s="228" t="s">
        <v>1528</v>
      </c>
    </row>
    <row r="309" spans="1:3" x14ac:dyDescent="0.25">
      <c r="A309" s="228" t="s">
        <v>1545</v>
      </c>
      <c r="C309" s="228" t="s">
        <v>1544</v>
      </c>
    </row>
    <row r="310" spans="1:3" x14ac:dyDescent="0.25">
      <c r="A310" s="228" t="s">
        <v>1519</v>
      </c>
      <c r="C310" s="228" t="s">
        <v>1518</v>
      </c>
    </row>
    <row r="311" spans="1:3" x14ac:dyDescent="0.25">
      <c r="A311" s="228" t="s">
        <v>1517</v>
      </c>
      <c r="C311" s="228" t="s">
        <v>1516</v>
      </c>
    </row>
    <row r="312" spans="1:3" x14ac:dyDescent="0.25">
      <c r="A312" s="228" t="s">
        <v>1527</v>
      </c>
      <c r="C312" s="228" t="s">
        <v>1526</v>
      </c>
    </row>
    <row r="313" spans="1:3" x14ac:dyDescent="0.25">
      <c r="A313" s="228" t="s">
        <v>1531</v>
      </c>
      <c r="C313" s="228" t="s">
        <v>1530</v>
      </c>
    </row>
    <row r="314" spans="1:3" x14ac:dyDescent="0.25">
      <c r="A314" s="228" t="s">
        <v>1527</v>
      </c>
      <c r="C314" s="228" t="s">
        <v>1526</v>
      </c>
    </row>
    <row r="315" spans="1:3" x14ac:dyDescent="0.25">
      <c r="A315" s="228" t="s">
        <v>1525</v>
      </c>
      <c r="C315" s="228" t="s">
        <v>1524</v>
      </c>
    </row>
    <row r="316" spans="1:3" x14ac:dyDescent="0.25">
      <c r="A316" s="228" t="s">
        <v>1535</v>
      </c>
      <c r="C316" s="228" t="s">
        <v>1534</v>
      </c>
    </row>
    <row r="317" spans="1:3" x14ac:dyDescent="0.25">
      <c r="A317" s="228" t="s">
        <v>1517</v>
      </c>
      <c r="C317" s="228" t="s">
        <v>1516</v>
      </c>
    </row>
    <row r="318" spans="1:3" x14ac:dyDescent="0.25">
      <c r="A318" s="228" t="s">
        <v>1541</v>
      </c>
      <c r="C318" s="228" t="s">
        <v>1540</v>
      </c>
    </row>
    <row r="319" spans="1:3" x14ac:dyDescent="0.25">
      <c r="A319" s="228" t="s">
        <v>1509</v>
      </c>
      <c r="C319" s="228" t="s">
        <v>1508</v>
      </c>
    </row>
    <row r="320" spans="1:3" x14ac:dyDescent="0.25">
      <c r="A320" s="228" t="s">
        <v>1543</v>
      </c>
      <c r="C320" s="228" t="s">
        <v>1542</v>
      </c>
    </row>
    <row r="321" spans="1:3" x14ac:dyDescent="0.25">
      <c r="A321" s="228" t="s">
        <v>1541</v>
      </c>
      <c r="C321" s="228" t="s">
        <v>1540</v>
      </c>
    </row>
    <row r="322" spans="1:3" x14ac:dyDescent="0.25">
      <c r="A322" s="228" t="s">
        <v>1501</v>
      </c>
      <c r="C322" s="228" t="s">
        <v>1500</v>
      </c>
    </row>
    <row r="323" spans="1:3" x14ac:dyDescent="0.25">
      <c r="A323" s="228" t="s">
        <v>1529</v>
      </c>
      <c r="C323" s="228" t="s">
        <v>1528</v>
      </c>
    </row>
    <row r="324" spans="1:3" x14ac:dyDescent="0.25">
      <c r="A324" s="228" t="s">
        <v>1515</v>
      </c>
      <c r="C324" s="228" t="s">
        <v>1514</v>
      </c>
    </row>
    <row r="325" spans="1:3" x14ac:dyDescent="0.25">
      <c r="A325" s="228" t="s">
        <v>1533</v>
      </c>
      <c r="C325" s="228" t="s">
        <v>1532</v>
      </c>
    </row>
    <row r="326" spans="1:3" x14ac:dyDescent="0.25">
      <c r="A326" s="228" t="s">
        <v>1523</v>
      </c>
      <c r="C326" s="228" t="s">
        <v>1522</v>
      </c>
    </row>
    <row r="327" spans="1:3" x14ac:dyDescent="0.25">
      <c r="A327" s="228" t="s">
        <v>1523</v>
      </c>
      <c r="C327" s="228" t="s">
        <v>1522</v>
      </c>
    </row>
    <row r="328" spans="1:3" x14ac:dyDescent="0.25">
      <c r="A328" s="228" t="s">
        <v>1535</v>
      </c>
      <c r="C328" s="228" t="s">
        <v>1534</v>
      </c>
    </row>
    <row r="329" spans="1:3" x14ac:dyDescent="0.25">
      <c r="A329" s="228" t="s">
        <v>1503</v>
      </c>
      <c r="C329" s="228" t="s">
        <v>1502</v>
      </c>
    </row>
    <row r="330" spans="1:3" x14ac:dyDescent="0.25">
      <c r="A330" s="228" t="s">
        <v>1529</v>
      </c>
      <c r="C330" s="228" t="s">
        <v>1528</v>
      </c>
    </row>
    <row r="331" spans="1:3" x14ac:dyDescent="0.25">
      <c r="A331" s="228" t="s">
        <v>1507</v>
      </c>
      <c r="C331" s="228" t="s">
        <v>1506</v>
      </c>
    </row>
    <row r="332" spans="1:3" x14ac:dyDescent="0.25">
      <c r="A332" s="228" t="s">
        <v>1529</v>
      </c>
      <c r="C332" s="228" t="s">
        <v>1528</v>
      </c>
    </row>
    <row r="333" spans="1:3" x14ac:dyDescent="0.25">
      <c r="A333" s="228" t="s">
        <v>1539</v>
      </c>
      <c r="C333" s="228" t="s">
        <v>1538</v>
      </c>
    </row>
    <row r="334" spans="1:3" x14ac:dyDescent="0.25">
      <c r="A334" s="228" t="s">
        <v>1531</v>
      </c>
      <c r="C334" s="228" t="s">
        <v>1530</v>
      </c>
    </row>
    <row r="335" spans="1:3" x14ac:dyDescent="0.25">
      <c r="A335" s="228" t="s">
        <v>1503</v>
      </c>
      <c r="C335" s="228" t="s">
        <v>1502</v>
      </c>
    </row>
    <row r="336" spans="1:3" x14ac:dyDescent="0.25">
      <c r="A336" s="228" t="s">
        <v>1541</v>
      </c>
      <c r="C336" s="228" t="s">
        <v>1540</v>
      </c>
    </row>
    <row r="337" spans="1:3" x14ac:dyDescent="0.25">
      <c r="A337" s="228" t="s">
        <v>1521</v>
      </c>
      <c r="C337" s="228" t="s">
        <v>1520</v>
      </c>
    </row>
    <row r="338" spans="1:3" x14ac:dyDescent="0.25">
      <c r="A338" s="228" t="s">
        <v>1533</v>
      </c>
      <c r="C338" s="228" t="s">
        <v>1532</v>
      </c>
    </row>
    <row r="339" spans="1:3" x14ac:dyDescent="0.25">
      <c r="A339" s="228" t="s">
        <v>1537</v>
      </c>
      <c r="C339" s="228" t="s">
        <v>1536</v>
      </c>
    </row>
    <row r="340" spans="1:3" x14ac:dyDescent="0.25">
      <c r="A340" s="228" t="s">
        <v>1537</v>
      </c>
      <c r="C340" s="228" t="s">
        <v>1536</v>
      </c>
    </row>
    <row r="341" spans="1:3" x14ac:dyDescent="0.25">
      <c r="A341" s="228" t="s">
        <v>1543</v>
      </c>
      <c r="C341" s="228" t="s">
        <v>1542</v>
      </c>
    </row>
    <row r="342" spans="1:3" x14ac:dyDescent="0.25">
      <c r="A342" s="228" t="s">
        <v>1545</v>
      </c>
      <c r="C342" s="228" t="s">
        <v>1544</v>
      </c>
    </row>
    <row r="343" spans="1:3" x14ac:dyDescent="0.25">
      <c r="A343" s="228" t="s">
        <v>1509</v>
      </c>
      <c r="C343" s="228" t="s">
        <v>1508</v>
      </c>
    </row>
    <row r="344" spans="1:3" x14ac:dyDescent="0.25">
      <c r="A344" s="228" t="s">
        <v>1515</v>
      </c>
      <c r="C344" s="228" t="s">
        <v>1514</v>
      </c>
    </row>
    <row r="345" spans="1:3" x14ac:dyDescent="0.25">
      <c r="A345" s="228" t="s">
        <v>1529</v>
      </c>
      <c r="C345" s="228" t="s">
        <v>1528</v>
      </c>
    </row>
    <row r="346" spans="1:3" x14ac:dyDescent="0.25">
      <c r="A346" s="228" t="s">
        <v>1539</v>
      </c>
      <c r="C346" s="228" t="s">
        <v>1538</v>
      </c>
    </row>
    <row r="347" spans="1:3" x14ac:dyDescent="0.25">
      <c r="A347" s="228" t="s">
        <v>1521</v>
      </c>
      <c r="C347" s="228" t="s">
        <v>1520</v>
      </c>
    </row>
    <row r="348" spans="1:3" x14ac:dyDescent="0.25">
      <c r="A348" s="228" t="s">
        <v>1545</v>
      </c>
      <c r="C348" s="228" t="s">
        <v>1544</v>
      </c>
    </row>
    <row r="349" spans="1:3" x14ac:dyDescent="0.25">
      <c r="A349" s="228" t="s">
        <v>1541</v>
      </c>
      <c r="C349" s="228" t="s">
        <v>1540</v>
      </c>
    </row>
    <row r="350" spans="1:3" x14ac:dyDescent="0.25">
      <c r="A350" s="228" t="s">
        <v>1503</v>
      </c>
      <c r="C350" s="228" t="s">
        <v>1502</v>
      </c>
    </row>
    <row r="351" spans="1:3" x14ac:dyDescent="0.25">
      <c r="A351" s="228" t="s">
        <v>1527</v>
      </c>
      <c r="C351" s="228" t="s">
        <v>1526</v>
      </c>
    </row>
    <row r="352" spans="1:3" x14ac:dyDescent="0.25">
      <c r="A352" s="228" t="s">
        <v>1523</v>
      </c>
      <c r="C352" s="228" t="s">
        <v>1522</v>
      </c>
    </row>
    <row r="353" spans="1:3" x14ac:dyDescent="0.25">
      <c r="A353" s="228" t="s">
        <v>1541</v>
      </c>
      <c r="C353" s="228" t="s">
        <v>1540</v>
      </c>
    </row>
    <row r="354" spans="1:3" x14ac:dyDescent="0.25">
      <c r="A354" s="228" t="s">
        <v>1523</v>
      </c>
      <c r="C354" s="228" t="s">
        <v>1522</v>
      </c>
    </row>
    <row r="355" spans="1:3" x14ac:dyDescent="0.25">
      <c r="A355" s="228" t="s">
        <v>1515</v>
      </c>
      <c r="C355" s="228" t="s">
        <v>1514</v>
      </c>
    </row>
    <row r="356" spans="1:3" x14ac:dyDescent="0.25">
      <c r="A356" s="228" t="s">
        <v>1531</v>
      </c>
      <c r="C356" s="228" t="s">
        <v>1530</v>
      </c>
    </row>
    <row r="357" spans="1:3" x14ac:dyDescent="0.25">
      <c r="A357" s="228" t="s">
        <v>1511</v>
      </c>
      <c r="C357" s="228" t="s">
        <v>1510</v>
      </c>
    </row>
    <row r="358" spans="1:3" x14ac:dyDescent="0.25">
      <c r="A358" s="228" t="s">
        <v>1529</v>
      </c>
      <c r="C358" s="228" t="s">
        <v>1528</v>
      </c>
    </row>
    <row r="359" spans="1:3" x14ac:dyDescent="0.25">
      <c r="A359" s="228" t="s">
        <v>1505</v>
      </c>
      <c r="C359" s="228" t="s">
        <v>1504</v>
      </c>
    </row>
    <row r="360" spans="1:3" x14ac:dyDescent="0.25">
      <c r="A360" s="228" t="s">
        <v>1545</v>
      </c>
      <c r="C360" s="228" t="s">
        <v>1544</v>
      </c>
    </row>
    <row r="361" spans="1:3" x14ac:dyDescent="0.25">
      <c r="A361" s="228" t="s">
        <v>1509</v>
      </c>
      <c r="C361" s="228" t="s">
        <v>1508</v>
      </c>
    </row>
    <row r="362" spans="1:3" x14ac:dyDescent="0.25">
      <c r="A362" s="228" t="s">
        <v>1533</v>
      </c>
      <c r="C362" s="228" t="s">
        <v>1532</v>
      </c>
    </row>
    <row r="363" spans="1:3" x14ac:dyDescent="0.25">
      <c r="A363" s="228" t="s">
        <v>1501</v>
      </c>
      <c r="C363" s="228" t="s">
        <v>1500</v>
      </c>
    </row>
    <row r="364" spans="1:3" x14ac:dyDescent="0.25">
      <c r="A364" s="228" t="s">
        <v>1537</v>
      </c>
      <c r="C364" s="228" t="s">
        <v>1536</v>
      </c>
    </row>
    <row r="365" spans="1:3" x14ac:dyDescent="0.25">
      <c r="A365" s="228" t="s">
        <v>1519</v>
      </c>
      <c r="C365" s="228" t="s">
        <v>1518</v>
      </c>
    </row>
    <row r="366" spans="1:3" x14ac:dyDescent="0.25">
      <c r="A366" s="228" t="s">
        <v>1499</v>
      </c>
      <c r="C366" s="228" t="s">
        <v>1498</v>
      </c>
    </row>
    <row r="367" spans="1:3" x14ac:dyDescent="0.25">
      <c r="A367" s="228" t="s">
        <v>1529</v>
      </c>
      <c r="C367" s="228" t="s">
        <v>1528</v>
      </c>
    </row>
    <row r="368" spans="1:3" x14ac:dyDescent="0.25">
      <c r="A368" s="228" t="s">
        <v>1541</v>
      </c>
      <c r="C368" s="228" t="s">
        <v>1540</v>
      </c>
    </row>
    <row r="369" spans="1:3" x14ac:dyDescent="0.25">
      <c r="A369" s="228" t="s">
        <v>1511</v>
      </c>
      <c r="C369" s="228" t="s">
        <v>1510</v>
      </c>
    </row>
    <row r="370" spans="1:3" x14ac:dyDescent="0.25">
      <c r="A370" s="228" t="s">
        <v>1519</v>
      </c>
      <c r="C370" s="228" t="s">
        <v>1518</v>
      </c>
    </row>
    <row r="371" spans="1:3" x14ac:dyDescent="0.25">
      <c r="A371" s="228" t="s">
        <v>1517</v>
      </c>
      <c r="C371" s="228" t="s">
        <v>1516</v>
      </c>
    </row>
    <row r="372" spans="1:3" x14ac:dyDescent="0.25">
      <c r="A372" s="228" t="s">
        <v>1523</v>
      </c>
      <c r="C372" s="228" t="s">
        <v>1522</v>
      </c>
    </row>
    <row r="373" spans="1:3" x14ac:dyDescent="0.25">
      <c r="A373" s="228" t="s">
        <v>1503</v>
      </c>
      <c r="C373" s="228" t="s">
        <v>1502</v>
      </c>
    </row>
    <row r="374" spans="1:3" x14ac:dyDescent="0.25">
      <c r="A374" s="228" t="s">
        <v>1509</v>
      </c>
      <c r="C374" s="228" t="s">
        <v>1508</v>
      </c>
    </row>
    <row r="375" spans="1:3" x14ac:dyDescent="0.25">
      <c r="A375" s="228" t="s">
        <v>1499</v>
      </c>
      <c r="C375" s="228" t="s">
        <v>1498</v>
      </c>
    </row>
    <row r="376" spans="1:3" x14ac:dyDescent="0.25">
      <c r="A376" s="228" t="s">
        <v>1511</v>
      </c>
      <c r="C376" s="228" t="s">
        <v>1510</v>
      </c>
    </row>
    <row r="377" spans="1:3" x14ac:dyDescent="0.25">
      <c r="A377" s="228" t="s">
        <v>1519</v>
      </c>
      <c r="C377" s="228" t="s">
        <v>1518</v>
      </c>
    </row>
    <row r="378" spans="1:3" x14ac:dyDescent="0.25">
      <c r="A378" s="228" t="s">
        <v>1527</v>
      </c>
      <c r="C378" s="228" t="s">
        <v>1526</v>
      </c>
    </row>
    <row r="379" spans="1:3" x14ac:dyDescent="0.25">
      <c r="A379" s="228" t="s">
        <v>1523</v>
      </c>
      <c r="C379" s="228" t="s">
        <v>1522</v>
      </c>
    </row>
    <row r="380" spans="1:3" x14ac:dyDescent="0.25">
      <c r="A380" s="228" t="s">
        <v>1501</v>
      </c>
      <c r="C380" s="228" t="s">
        <v>1500</v>
      </c>
    </row>
    <row r="381" spans="1:3" x14ac:dyDescent="0.25">
      <c r="A381" s="228" t="s">
        <v>1541</v>
      </c>
      <c r="C381" s="228" t="s">
        <v>1540</v>
      </c>
    </row>
    <row r="382" spans="1:3" x14ac:dyDescent="0.25">
      <c r="A382" s="228" t="s">
        <v>1519</v>
      </c>
      <c r="C382" s="228" t="s">
        <v>1518</v>
      </c>
    </row>
    <row r="383" spans="1:3" x14ac:dyDescent="0.25">
      <c r="A383" s="228" t="s">
        <v>1543</v>
      </c>
      <c r="C383" s="228" t="s">
        <v>1542</v>
      </c>
    </row>
    <row r="384" spans="1:3" x14ac:dyDescent="0.25">
      <c r="A384" s="228" t="s">
        <v>1521</v>
      </c>
      <c r="C384" s="228" t="s">
        <v>1520</v>
      </c>
    </row>
    <row r="385" spans="1:3" x14ac:dyDescent="0.25">
      <c r="A385" s="228" t="s">
        <v>1505</v>
      </c>
      <c r="C385" s="228" t="s">
        <v>1504</v>
      </c>
    </row>
    <row r="386" spans="1:3" x14ac:dyDescent="0.25">
      <c r="A386" s="228" t="s">
        <v>1525</v>
      </c>
      <c r="C386" s="228" t="s">
        <v>1524</v>
      </c>
    </row>
    <row r="387" spans="1:3" x14ac:dyDescent="0.25">
      <c r="A387" s="228" t="s">
        <v>1541</v>
      </c>
      <c r="C387" s="228" t="s">
        <v>1540</v>
      </c>
    </row>
    <row r="388" spans="1:3" x14ac:dyDescent="0.25">
      <c r="A388" s="228" t="s">
        <v>1527</v>
      </c>
      <c r="C388" s="228" t="s">
        <v>1526</v>
      </c>
    </row>
    <row r="389" spans="1:3" x14ac:dyDescent="0.25">
      <c r="A389" s="228" t="s">
        <v>1531</v>
      </c>
      <c r="C389" s="228" t="s">
        <v>1530</v>
      </c>
    </row>
    <row r="390" spans="1:3" x14ac:dyDescent="0.25">
      <c r="A390" s="228" t="s">
        <v>1515</v>
      </c>
      <c r="C390" s="228" t="s">
        <v>1514</v>
      </c>
    </row>
    <row r="391" spans="1:3" x14ac:dyDescent="0.25">
      <c r="A391" s="228" t="s">
        <v>1519</v>
      </c>
      <c r="C391" s="228" t="s">
        <v>1518</v>
      </c>
    </row>
    <row r="392" spans="1:3" x14ac:dyDescent="0.25">
      <c r="A392" s="228" t="s">
        <v>1527</v>
      </c>
      <c r="C392" s="228" t="s">
        <v>1526</v>
      </c>
    </row>
    <row r="393" spans="1:3" x14ac:dyDescent="0.25">
      <c r="A393" s="228" t="s">
        <v>1537</v>
      </c>
      <c r="C393" s="228" t="s">
        <v>1536</v>
      </c>
    </row>
    <row r="394" spans="1:3" x14ac:dyDescent="0.25">
      <c r="A394" s="228" t="s">
        <v>1541</v>
      </c>
      <c r="C394" s="228" t="s">
        <v>1540</v>
      </c>
    </row>
    <row r="395" spans="1:3" x14ac:dyDescent="0.25">
      <c r="A395" s="228" t="s">
        <v>1545</v>
      </c>
      <c r="C395" s="228" t="s">
        <v>1544</v>
      </c>
    </row>
    <row r="396" spans="1:3" x14ac:dyDescent="0.25">
      <c r="A396" s="228" t="s">
        <v>1513</v>
      </c>
      <c r="C396" s="228" t="s">
        <v>1512</v>
      </c>
    </row>
    <row r="397" spans="1:3" x14ac:dyDescent="0.25">
      <c r="A397" s="228" t="s">
        <v>1537</v>
      </c>
      <c r="C397" s="228" t="s">
        <v>1536</v>
      </c>
    </row>
    <row r="398" spans="1:3" x14ac:dyDescent="0.25">
      <c r="A398" s="228" t="s">
        <v>1529</v>
      </c>
      <c r="C398" s="228" t="s">
        <v>1528</v>
      </c>
    </row>
    <row r="399" spans="1:3" x14ac:dyDescent="0.25">
      <c r="A399" s="228" t="s">
        <v>1509</v>
      </c>
      <c r="C399" s="228" t="s">
        <v>1508</v>
      </c>
    </row>
    <row r="400" spans="1:3" x14ac:dyDescent="0.25">
      <c r="A400" s="228" t="s">
        <v>1529</v>
      </c>
      <c r="C400" s="228" t="s">
        <v>1528</v>
      </c>
    </row>
    <row r="401" spans="1:3" x14ac:dyDescent="0.25">
      <c r="A401" s="228" t="s">
        <v>1505</v>
      </c>
      <c r="C401" s="228" t="s">
        <v>1504</v>
      </c>
    </row>
    <row r="402" spans="1:3" x14ac:dyDescent="0.25">
      <c r="A402" s="228" t="s">
        <v>1543</v>
      </c>
      <c r="C402" s="228" t="s">
        <v>1542</v>
      </c>
    </row>
    <row r="403" spans="1:3" x14ac:dyDescent="0.25">
      <c r="A403" s="228" t="s">
        <v>1525</v>
      </c>
      <c r="C403" s="228" t="s">
        <v>1524</v>
      </c>
    </row>
    <row r="404" spans="1:3" x14ac:dyDescent="0.25">
      <c r="A404" s="228" t="s">
        <v>1541</v>
      </c>
      <c r="C404" s="228" t="s">
        <v>1540</v>
      </c>
    </row>
    <row r="405" spans="1:3" x14ac:dyDescent="0.25">
      <c r="A405" s="228" t="s">
        <v>1509</v>
      </c>
      <c r="C405" s="228" t="s">
        <v>1508</v>
      </c>
    </row>
    <row r="406" spans="1:3" x14ac:dyDescent="0.25">
      <c r="A406" s="228" t="s">
        <v>1505</v>
      </c>
      <c r="C406" s="228" t="s">
        <v>1504</v>
      </c>
    </row>
    <row r="407" spans="1:3" x14ac:dyDescent="0.25">
      <c r="A407" s="228" t="s">
        <v>1503</v>
      </c>
      <c r="C407" s="228" t="s">
        <v>1502</v>
      </c>
    </row>
    <row r="408" spans="1:3" x14ac:dyDescent="0.25">
      <c r="A408" s="228" t="s">
        <v>1537</v>
      </c>
      <c r="C408" s="228" t="s">
        <v>1536</v>
      </c>
    </row>
    <row r="409" spans="1:3" x14ac:dyDescent="0.25">
      <c r="A409" s="228" t="s">
        <v>1533</v>
      </c>
      <c r="C409" s="228" t="s">
        <v>1532</v>
      </c>
    </row>
    <row r="410" spans="1:3" x14ac:dyDescent="0.25">
      <c r="A410" s="228" t="s">
        <v>1533</v>
      </c>
      <c r="C410" s="228" t="s">
        <v>1532</v>
      </c>
    </row>
    <row r="411" spans="1:3" x14ac:dyDescent="0.25">
      <c r="A411" s="228" t="s">
        <v>1515</v>
      </c>
      <c r="C411" s="228" t="s">
        <v>1514</v>
      </c>
    </row>
    <row r="412" spans="1:3" x14ac:dyDescent="0.25">
      <c r="A412" s="228" t="s">
        <v>1533</v>
      </c>
      <c r="C412" s="228" t="s">
        <v>1532</v>
      </c>
    </row>
    <row r="413" spans="1:3" x14ac:dyDescent="0.25">
      <c r="A413" s="228" t="s">
        <v>1509</v>
      </c>
      <c r="C413" s="228" t="s">
        <v>1508</v>
      </c>
    </row>
    <row r="414" spans="1:3" x14ac:dyDescent="0.25">
      <c r="A414" s="228" t="s">
        <v>1529</v>
      </c>
      <c r="C414" s="228" t="s">
        <v>1528</v>
      </c>
    </row>
    <row r="415" spans="1:3" x14ac:dyDescent="0.25">
      <c r="A415" s="228" t="s">
        <v>1513</v>
      </c>
      <c r="C415" s="228" t="s">
        <v>1512</v>
      </c>
    </row>
    <row r="416" spans="1:3" x14ac:dyDescent="0.25">
      <c r="A416" s="228" t="s">
        <v>1523</v>
      </c>
      <c r="C416" s="228" t="s">
        <v>1522</v>
      </c>
    </row>
    <row r="417" spans="1:3" x14ac:dyDescent="0.25">
      <c r="A417" s="228" t="s">
        <v>1519</v>
      </c>
      <c r="C417" s="228" t="s">
        <v>1518</v>
      </c>
    </row>
    <row r="418" spans="1:3" x14ac:dyDescent="0.25">
      <c r="A418" s="228" t="s">
        <v>1521</v>
      </c>
      <c r="C418" s="228" t="s">
        <v>1520</v>
      </c>
    </row>
    <row r="419" spans="1:3" x14ac:dyDescent="0.25">
      <c r="A419" s="228" t="s">
        <v>1511</v>
      </c>
      <c r="C419" s="228" t="s">
        <v>1510</v>
      </c>
    </row>
    <row r="420" spans="1:3" x14ac:dyDescent="0.25">
      <c r="A420" s="228" t="s">
        <v>1537</v>
      </c>
      <c r="C420" s="228" t="s">
        <v>1536</v>
      </c>
    </row>
    <row r="421" spans="1:3" x14ac:dyDescent="0.25">
      <c r="A421" s="228" t="s">
        <v>1509</v>
      </c>
      <c r="C421" s="228" t="s">
        <v>1508</v>
      </c>
    </row>
    <row r="422" spans="1:3" x14ac:dyDescent="0.25">
      <c r="A422" s="228" t="s">
        <v>1541</v>
      </c>
      <c r="C422" s="228" t="s">
        <v>1540</v>
      </c>
    </row>
    <row r="423" spans="1:3" x14ac:dyDescent="0.25">
      <c r="A423" s="228" t="s">
        <v>1503</v>
      </c>
      <c r="C423" s="228" t="s">
        <v>1502</v>
      </c>
    </row>
    <row r="424" spans="1:3" x14ac:dyDescent="0.25">
      <c r="A424" s="228" t="s">
        <v>1523</v>
      </c>
      <c r="C424" s="228" t="s">
        <v>1522</v>
      </c>
    </row>
    <row r="425" spans="1:3" x14ac:dyDescent="0.25">
      <c r="A425" s="228" t="s">
        <v>1525</v>
      </c>
      <c r="C425" s="228" t="s">
        <v>1524</v>
      </c>
    </row>
    <row r="426" spans="1:3" x14ac:dyDescent="0.25">
      <c r="A426" s="228" t="s">
        <v>1527</v>
      </c>
      <c r="C426" s="228" t="s">
        <v>1526</v>
      </c>
    </row>
    <row r="427" spans="1:3" x14ac:dyDescent="0.25">
      <c r="A427" s="228" t="s">
        <v>1541</v>
      </c>
      <c r="C427" s="228" t="s">
        <v>1540</v>
      </c>
    </row>
    <row r="428" spans="1:3" x14ac:dyDescent="0.25">
      <c r="A428" s="228" t="s">
        <v>1511</v>
      </c>
      <c r="C428" s="228" t="s">
        <v>1510</v>
      </c>
    </row>
    <row r="429" spans="1:3" x14ac:dyDescent="0.25">
      <c r="A429" s="228" t="s">
        <v>1509</v>
      </c>
      <c r="C429" s="228" t="s">
        <v>1508</v>
      </c>
    </row>
    <row r="430" spans="1:3" x14ac:dyDescent="0.25">
      <c r="A430" s="228" t="s">
        <v>1543</v>
      </c>
      <c r="C430" s="228" t="s">
        <v>1542</v>
      </c>
    </row>
    <row r="431" spans="1:3" x14ac:dyDescent="0.25">
      <c r="A431" s="228" t="s">
        <v>1543</v>
      </c>
      <c r="C431" s="228" t="s">
        <v>1542</v>
      </c>
    </row>
    <row r="432" spans="1:3" x14ac:dyDescent="0.25">
      <c r="A432" s="228" t="s">
        <v>1529</v>
      </c>
      <c r="C432" s="228" t="s">
        <v>1528</v>
      </c>
    </row>
    <row r="433" spans="1:3" x14ac:dyDescent="0.25">
      <c r="A433" s="228" t="s">
        <v>1515</v>
      </c>
      <c r="C433" s="228" t="s">
        <v>1514</v>
      </c>
    </row>
    <row r="434" spans="1:3" x14ac:dyDescent="0.25">
      <c r="A434" s="228" t="s">
        <v>1527</v>
      </c>
      <c r="C434" s="228" t="s">
        <v>1526</v>
      </c>
    </row>
    <row r="435" spans="1:3" x14ac:dyDescent="0.25">
      <c r="A435" s="228" t="s">
        <v>1531</v>
      </c>
      <c r="C435" s="228" t="s">
        <v>1530</v>
      </c>
    </row>
    <row r="436" spans="1:3" x14ac:dyDescent="0.25">
      <c r="A436" s="228" t="s">
        <v>1537</v>
      </c>
      <c r="C436" s="228" t="s">
        <v>1536</v>
      </c>
    </row>
    <row r="437" spans="1:3" x14ac:dyDescent="0.25">
      <c r="A437" s="228" t="s">
        <v>1501</v>
      </c>
      <c r="C437" s="228" t="s">
        <v>1500</v>
      </c>
    </row>
    <row r="438" spans="1:3" x14ac:dyDescent="0.25">
      <c r="A438" s="228" t="s">
        <v>1527</v>
      </c>
      <c r="C438" s="228" t="s">
        <v>1526</v>
      </c>
    </row>
    <row r="439" spans="1:3" x14ac:dyDescent="0.25">
      <c r="A439" s="228" t="s">
        <v>1527</v>
      </c>
      <c r="C439" s="228" t="s">
        <v>1526</v>
      </c>
    </row>
    <row r="440" spans="1:3" x14ac:dyDescent="0.25">
      <c r="A440" s="228" t="s">
        <v>1523</v>
      </c>
      <c r="C440" s="228" t="s">
        <v>1522</v>
      </c>
    </row>
    <row r="441" spans="1:3" x14ac:dyDescent="0.25">
      <c r="A441" s="228" t="s">
        <v>1513</v>
      </c>
      <c r="C441" s="228" t="s">
        <v>1512</v>
      </c>
    </row>
    <row r="442" spans="1:3" x14ac:dyDescent="0.25">
      <c r="A442" s="228" t="s">
        <v>1515</v>
      </c>
      <c r="C442" s="228" t="s">
        <v>1514</v>
      </c>
    </row>
    <row r="443" spans="1:3" x14ac:dyDescent="0.25">
      <c r="A443" s="228" t="s">
        <v>1543</v>
      </c>
      <c r="C443" s="228" t="s">
        <v>1542</v>
      </c>
    </row>
    <row r="444" spans="1:3" x14ac:dyDescent="0.25">
      <c r="A444" s="228" t="s">
        <v>1507</v>
      </c>
      <c r="C444" s="228" t="s">
        <v>1506</v>
      </c>
    </row>
    <row r="445" spans="1:3" x14ac:dyDescent="0.25">
      <c r="A445" s="228" t="s">
        <v>1513</v>
      </c>
      <c r="C445" s="228" t="s">
        <v>1512</v>
      </c>
    </row>
    <row r="446" spans="1:3" x14ac:dyDescent="0.25">
      <c r="A446" s="228" t="s">
        <v>1539</v>
      </c>
      <c r="C446" s="228" t="s">
        <v>1538</v>
      </c>
    </row>
    <row r="447" spans="1:3" x14ac:dyDescent="0.25">
      <c r="A447" s="228" t="s">
        <v>1501</v>
      </c>
      <c r="C447" s="228" t="s">
        <v>1500</v>
      </c>
    </row>
    <row r="448" spans="1:3" x14ac:dyDescent="0.25">
      <c r="A448" s="228" t="s">
        <v>1501</v>
      </c>
      <c r="C448" s="228" t="s">
        <v>1500</v>
      </c>
    </row>
    <row r="449" spans="1:3" x14ac:dyDescent="0.25">
      <c r="A449" s="228" t="s">
        <v>1539</v>
      </c>
      <c r="C449" s="228" t="s">
        <v>1538</v>
      </c>
    </row>
    <row r="450" spans="1:3" x14ac:dyDescent="0.25">
      <c r="A450" s="228" t="s">
        <v>1543</v>
      </c>
      <c r="C450" s="228" t="s">
        <v>1542</v>
      </c>
    </row>
    <row r="451" spans="1:3" x14ac:dyDescent="0.25">
      <c r="A451" s="228" t="s">
        <v>1531</v>
      </c>
      <c r="C451" s="228" t="s">
        <v>1530</v>
      </c>
    </row>
    <row r="452" spans="1:3" x14ac:dyDescent="0.25">
      <c r="A452" s="228" t="s">
        <v>1531</v>
      </c>
      <c r="C452" s="228" t="s">
        <v>1530</v>
      </c>
    </row>
    <row r="453" spans="1:3" x14ac:dyDescent="0.25">
      <c r="A453" s="228" t="s">
        <v>1523</v>
      </c>
      <c r="C453" s="228" t="s">
        <v>1522</v>
      </c>
    </row>
    <row r="454" spans="1:3" x14ac:dyDescent="0.25">
      <c r="A454" s="228" t="s">
        <v>1503</v>
      </c>
      <c r="C454" s="228" t="s">
        <v>1502</v>
      </c>
    </row>
    <row r="455" spans="1:3" x14ac:dyDescent="0.25">
      <c r="A455" s="228" t="s">
        <v>1529</v>
      </c>
      <c r="C455" s="228" t="s">
        <v>1528</v>
      </c>
    </row>
    <row r="456" spans="1:3" x14ac:dyDescent="0.25">
      <c r="A456" s="228" t="s">
        <v>1513</v>
      </c>
      <c r="C456" s="228" t="s">
        <v>1512</v>
      </c>
    </row>
    <row r="457" spans="1:3" x14ac:dyDescent="0.25">
      <c r="A457" s="228" t="s">
        <v>1543</v>
      </c>
      <c r="C457" s="228" t="s">
        <v>1542</v>
      </c>
    </row>
    <row r="458" spans="1:3" x14ac:dyDescent="0.25">
      <c r="A458" s="228" t="s">
        <v>1541</v>
      </c>
      <c r="C458" s="228" t="s">
        <v>1540</v>
      </c>
    </row>
    <row r="459" spans="1:3" x14ac:dyDescent="0.25">
      <c r="A459" s="228" t="s">
        <v>1535</v>
      </c>
      <c r="C459" s="228" t="s">
        <v>1534</v>
      </c>
    </row>
    <row r="460" spans="1:3" x14ac:dyDescent="0.25">
      <c r="A460" s="228" t="s">
        <v>1501</v>
      </c>
      <c r="C460" s="228" t="s">
        <v>1500</v>
      </c>
    </row>
    <row r="461" spans="1:3" x14ac:dyDescent="0.25">
      <c r="A461" s="228" t="s">
        <v>1513</v>
      </c>
      <c r="C461" s="228" t="s">
        <v>1512</v>
      </c>
    </row>
    <row r="462" spans="1:3" x14ac:dyDescent="0.25">
      <c r="A462" s="228" t="s">
        <v>1545</v>
      </c>
      <c r="C462" s="228" t="s">
        <v>1544</v>
      </c>
    </row>
    <row r="463" spans="1:3" x14ac:dyDescent="0.25">
      <c r="A463" s="228" t="s">
        <v>1501</v>
      </c>
      <c r="C463" s="228" t="s">
        <v>1500</v>
      </c>
    </row>
    <row r="464" spans="1:3" x14ac:dyDescent="0.25">
      <c r="A464" s="228" t="s">
        <v>1521</v>
      </c>
      <c r="C464" s="228" t="s">
        <v>1520</v>
      </c>
    </row>
    <row r="465" spans="1:3" x14ac:dyDescent="0.25">
      <c r="A465" s="228" t="s">
        <v>1511</v>
      </c>
      <c r="C465" s="228" t="s">
        <v>1510</v>
      </c>
    </row>
    <row r="466" spans="1:3" x14ac:dyDescent="0.25">
      <c r="A466" s="228" t="s">
        <v>1519</v>
      </c>
      <c r="C466" s="228" t="s">
        <v>1518</v>
      </c>
    </row>
    <row r="467" spans="1:3" x14ac:dyDescent="0.25">
      <c r="A467" s="228" t="s">
        <v>1501</v>
      </c>
      <c r="C467" s="228" t="s">
        <v>1500</v>
      </c>
    </row>
    <row r="468" spans="1:3" x14ac:dyDescent="0.25">
      <c r="A468" s="228" t="s">
        <v>1525</v>
      </c>
      <c r="C468" s="228" t="s">
        <v>1524</v>
      </c>
    </row>
    <row r="469" spans="1:3" x14ac:dyDescent="0.25">
      <c r="A469" s="228" t="s">
        <v>1523</v>
      </c>
      <c r="C469" s="228" t="s">
        <v>1522</v>
      </c>
    </row>
    <row r="470" spans="1:3" x14ac:dyDescent="0.25">
      <c r="A470" s="228" t="s">
        <v>1535</v>
      </c>
      <c r="C470" s="228" t="s">
        <v>1534</v>
      </c>
    </row>
    <row r="471" spans="1:3" x14ac:dyDescent="0.25">
      <c r="A471" s="228" t="s">
        <v>1505</v>
      </c>
      <c r="C471" s="228" t="s">
        <v>1504</v>
      </c>
    </row>
    <row r="472" spans="1:3" x14ac:dyDescent="0.25">
      <c r="A472" s="228" t="s">
        <v>1515</v>
      </c>
      <c r="C472" s="228" t="s">
        <v>1514</v>
      </c>
    </row>
    <row r="473" spans="1:3" x14ac:dyDescent="0.25">
      <c r="A473" s="228" t="s">
        <v>1505</v>
      </c>
      <c r="C473" s="228" t="s">
        <v>1504</v>
      </c>
    </row>
    <row r="474" spans="1:3" x14ac:dyDescent="0.25">
      <c r="A474" s="228" t="s">
        <v>1531</v>
      </c>
      <c r="C474" s="228" t="s">
        <v>1530</v>
      </c>
    </row>
    <row r="475" spans="1:3" x14ac:dyDescent="0.25">
      <c r="A475" s="228" t="s">
        <v>1505</v>
      </c>
      <c r="C475" s="228" t="s">
        <v>1504</v>
      </c>
    </row>
    <row r="476" spans="1:3" x14ac:dyDescent="0.25">
      <c r="A476" s="228" t="s">
        <v>1527</v>
      </c>
      <c r="C476" s="228" t="s">
        <v>1526</v>
      </c>
    </row>
    <row r="477" spans="1:3" x14ac:dyDescent="0.25">
      <c r="A477" s="228" t="s">
        <v>1507</v>
      </c>
      <c r="C477" s="228" t="s">
        <v>1506</v>
      </c>
    </row>
    <row r="478" spans="1:3" x14ac:dyDescent="0.25">
      <c r="A478" s="228" t="s">
        <v>1523</v>
      </c>
      <c r="C478" s="228" t="s">
        <v>1522</v>
      </c>
    </row>
    <row r="479" spans="1:3" x14ac:dyDescent="0.25">
      <c r="A479" s="228" t="s">
        <v>1519</v>
      </c>
      <c r="C479" s="228" t="s">
        <v>1518</v>
      </c>
    </row>
    <row r="480" spans="1:3" x14ac:dyDescent="0.25">
      <c r="A480" s="228" t="s">
        <v>1505</v>
      </c>
      <c r="C480" s="228" t="s">
        <v>1504</v>
      </c>
    </row>
    <row r="481" spans="1:3" x14ac:dyDescent="0.25">
      <c r="A481" s="228" t="s">
        <v>1525</v>
      </c>
      <c r="C481" s="228" t="s">
        <v>1524</v>
      </c>
    </row>
    <row r="482" spans="1:3" x14ac:dyDescent="0.25">
      <c r="A482" s="228" t="s">
        <v>1537</v>
      </c>
      <c r="C482" s="228" t="s">
        <v>1536</v>
      </c>
    </row>
    <row r="483" spans="1:3" x14ac:dyDescent="0.25">
      <c r="A483" s="228" t="s">
        <v>1537</v>
      </c>
      <c r="C483" s="228" t="s">
        <v>1536</v>
      </c>
    </row>
    <row r="484" spans="1:3" x14ac:dyDescent="0.25">
      <c r="A484" s="228" t="s">
        <v>1523</v>
      </c>
      <c r="C484" s="228" t="s">
        <v>1522</v>
      </c>
    </row>
    <row r="485" spans="1:3" x14ac:dyDescent="0.25">
      <c r="A485" s="228" t="s">
        <v>1527</v>
      </c>
      <c r="C485" s="228" t="s">
        <v>1526</v>
      </c>
    </row>
    <row r="486" spans="1:3" x14ac:dyDescent="0.25">
      <c r="A486" s="228" t="s">
        <v>1531</v>
      </c>
      <c r="C486" s="228" t="s">
        <v>1530</v>
      </c>
    </row>
    <row r="487" spans="1:3" x14ac:dyDescent="0.25">
      <c r="A487" s="228" t="s">
        <v>1535</v>
      </c>
      <c r="C487" s="228" t="s">
        <v>1534</v>
      </c>
    </row>
    <row r="488" spans="1:3" x14ac:dyDescent="0.25">
      <c r="A488" s="228" t="s">
        <v>1539</v>
      </c>
      <c r="C488" s="228" t="s">
        <v>1538</v>
      </c>
    </row>
    <row r="489" spans="1:3" x14ac:dyDescent="0.25">
      <c r="A489" s="228" t="s">
        <v>1541</v>
      </c>
      <c r="C489" s="228" t="s">
        <v>1540</v>
      </c>
    </row>
    <row r="490" spans="1:3" x14ac:dyDescent="0.25">
      <c r="A490" s="228" t="s">
        <v>1521</v>
      </c>
      <c r="C490" s="228" t="s">
        <v>1520</v>
      </c>
    </row>
    <row r="491" spans="1:3" x14ac:dyDescent="0.25">
      <c r="A491" s="228" t="s">
        <v>1527</v>
      </c>
      <c r="C491" s="228" t="s">
        <v>1526</v>
      </c>
    </row>
    <row r="492" spans="1:3" x14ac:dyDescent="0.25">
      <c r="A492" s="228" t="s">
        <v>1521</v>
      </c>
      <c r="C492" s="228" t="s">
        <v>1520</v>
      </c>
    </row>
    <row r="493" spans="1:3" x14ac:dyDescent="0.25">
      <c r="A493" s="228" t="s">
        <v>1515</v>
      </c>
      <c r="C493" s="228" t="s">
        <v>1514</v>
      </c>
    </row>
    <row r="494" spans="1:3" x14ac:dyDescent="0.25">
      <c r="A494" s="228" t="s">
        <v>1509</v>
      </c>
      <c r="C494" s="228" t="s">
        <v>1508</v>
      </c>
    </row>
    <row r="495" spans="1:3" x14ac:dyDescent="0.25">
      <c r="A495" s="228" t="s">
        <v>1513</v>
      </c>
      <c r="C495" s="228" t="s">
        <v>1512</v>
      </c>
    </row>
    <row r="496" spans="1:3" x14ac:dyDescent="0.25">
      <c r="A496" s="228" t="s">
        <v>1545</v>
      </c>
      <c r="C496" s="228" t="s">
        <v>1544</v>
      </c>
    </row>
    <row r="497" spans="1:3" x14ac:dyDescent="0.25">
      <c r="A497" s="228" t="s">
        <v>1507</v>
      </c>
      <c r="C497" s="228" t="s">
        <v>1506</v>
      </c>
    </row>
    <row r="498" spans="1:3" x14ac:dyDescent="0.25">
      <c r="A498" s="228" t="s">
        <v>1505</v>
      </c>
      <c r="C498" s="228" t="s">
        <v>1504</v>
      </c>
    </row>
    <row r="499" spans="1:3" x14ac:dyDescent="0.25">
      <c r="A499" s="228" t="s">
        <v>1545</v>
      </c>
      <c r="C499" s="228" t="s">
        <v>1544</v>
      </c>
    </row>
    <row r="500" spans="1:3" x14ac:dyDescent="0.25">
      <c r="A500" s="228" t="s">
        <v>1537</v>
      </c>
      <c r="C500" s="228" t="s">
        <v>1536</v>
      </c>
    </row>
    <row r="501" spans="1:3" x14ac:dyDescent="0.25">
      <c r="A501" s="228" t="s">
        <v>1537</v>
      </c>
      <c r="C501" s="228" t="s">
        <v>1536</v>
      </c>
    </row>
    <row r="502" spans="1:3" x14ac:dyDescent="0.25">
      <c r="A502" s="228" t="s">
        <v>1539</v>
      </c>
      <c r="C502" s="228" t="s">
        <v>1538</v>
      </c>
    </row>
    <row r="503" spans="1:3" x14ac:dyDescent="0.25">
      <c r="A503" s="228" t="s">
        <v>1525</v>
      </c>
      <c r="C503" s="228" t="s">
        <v>1524</v>
      </c>
    </row>
    <row r="504" spans="1:3" x14ac:dyDescent="0.25">
      <c r="A504" s="228" t="s">
        <v>1509</v>
      </c>
      <c r="C504" s="228" t="s">
        <v>1508</v>
      </c>
    </row>
    <row r="505" spans="1:3" x14ac:dyDescent="0.25">
      <c r="A505" s="228" t="s">
        <v>1545</v>
      </c>
      <c r="C505" s="228" t="s">
        <v>1544</v>
      </c>
    </row>
    <row r="506" spans="1:3" x14ac:dyDescent="0.25">
      <c r="A506" s="228" t="s">
        <v>1541</v>
      </c>
      <c r="C506" s="228" t="s">
        <v>1540</v>
      </c>
    </row>
    <row r="507" spans="1:3" x14ac:dyDescent="0.25">
      <c r="A507" s="228" t="s">
        <v>1505</v>
      </c>
      <c r="C507" s="228" t="s">
        <v>1504</v>
      </c>
    </row>
    <row r="508" spans="1:3" x14ac:dyDescent="0.25">
      <c r="A508" s="228" t="s">
        <v>1535</v>
      </c>
      <c r="C508" s="228" t="s">
        <v>1534</v>
      </c>
    </row>
    <row r="509" spans="1:3" x14ac:dyDescent="0.25">
      <c r="A509" s="228" t="s">
        <v>1505</v>
      </c>
      <c r="C509" s="228" t="s">
        <v>1504</v>
      </c>
    </row>
    <row r="510" spans="1:3" x14ac:dyDescent="0.25">
      <c r="A510" s="228" t="s">
        <v>1515</v>
      </c>
      <c r="C510" s="228" t="s">
        <v>1514</v>
      </c>
    </row>
    <row r="511" spans="1:3" x14ac:dyDescent="0.25">
      <c r="A511" s="228" t="s">
        <v>1541</v>
      </c>
      <c r="C511" s="228" t="s">
        <v>1540</v>
      </c>
    </row>
    <row r="512" spans="1:3" x14ac:dyDescent="0.25">
      <c r="A512" s="228" t="s">
        <v>1537</v>
      </c>
      <c r="C512" s="228" t="s">
        <v>1536</v>
      </c>
    </row>
    <row r="513" spans="1:3" x14ac:dyDescent="0.25">
      <c r="A513" s="228" t="s">
        <v>1539</v>
      </c>
      <c r="C513" s="228" t="s">
        <v>1538</v>
      </c>
    </row>
    <row r="514" spans="1:3" x14ac:dyDescent="0.25">
      <c r="A514" s="228" t="s">
        <v>1533</v>
      </c>
      <c r="C514" s="228" t="s">
        <v>1532</v>
      </c>
    </row>
    <row r="515" spans="1:3" x14ac:dyDescent="0.25">
      <c r="A515" s="228" t="s">
        <v>1505</v>
      </c>
      <c r="C515" s="228" t="s">
        <v>1504</v>
      </c>
    </row>
    <row r="516" spans="1:3" x14ac:dyDescent="0.25">
      <c r="A516" s="228" t="s">
        <v>1537</v>
      </c>
      <c r="C516" s="228" t="s">
        <v>1536</v>
      </c>
    </row>
    <row r="517" spans="1:3" x14ac:dyDescent="0.25">
      <c r="A517" s="228" t="s">
        <v>1509</v>
      </c>
      <c r="C517" s="228" t="s">
        <v>1508</v>
      </c>
    </row>
    <row r="518" spans="1:3" x14ac:dyDescent="0.25">
      <c r="A518" s="228" t="s">
        <v>1531</v>
      </c>
      <c r="C518" s="228" t="s">
        <v>1530</v>
      </c>
    </row>
    <row r="519" spans="1:3" x14ac:dyDescent="0.25">
      <c r="A519" s="228" t="s">
        <v>1525</v>
      </c>
      <c r="C519" s="228" t="s">
        <v>1524</v>
      </c>
    </row>
    <row r="520" spans="1:3" x14ac:dyDescent="0.25">
      <c r="A520" s="228" t="s">
        <v>1529</v>
      </c>
      <c r="C520" s="228" t="s">
        <v>1528</v>
      </c>
    </row>
    <row r="521" spans="1:3" x14ac:dyDescent="0.25">
      <c r="A521" s="228" t="s">
        <v>1527</v>
      </c>
      <c r="C521" s="228" t="s">
        <v>1526</v>
      </c>
    </row>
    <row r="522" spans="1:3" x14ac:dyDescent="0.25">
      <c r="A522" s="228" t="s">
        <v>1525</v>
      </c>
      <c r="C522" s="228" t="s">
        <v>1524</v>
      </c>
    </row>
    <row r="523" spans="1:3" x14ac:dyDescent="0.25">
      <c r="A523" s="228" t="s">
        <v>1517</v>
      </c>
      <c r="C523" s="228" t="s">
        <v>1516</v>
      </c>
    </row>
    <row r="524" spans="1:3" x14ac:dyDescent="0.25">
      <c r="A524" s="228" t="s">
        <v>1537</v>
      </c>
      <c r="C524" s="228" t="s">
        <v>1536</v>
      </c>
    </row>
    <row r="525" spans="1:3" x14ac:dyDescent="0.25">
      <c r="A525" s="228" t="s">
        <v>1545</v>
      </c>
      <c r="C525" s="228" t="s">
        <v>1544</v>
      </c>
    </row>
    <row r="526" spans="1:3" x14ac:dyDescent="0.25">
      <c r="A526" s="228" t="s">
        <v>1539</v>
      </c>
      <c r="C526" s="228" t="s">
        <v>1538</v>
      </c>
    </row>
    <row r="527" spans="1:3" x14ac:dyDescent="0.25">
      <c r="A527" s="228" t="s">
        <v>1521</v>
      </c>
      <c r="C527" s="228" t="s">
        <v>1520</v>
      </c>
    </row>
    <row r="528" spans="1:3" x14ac:dyDescent="0.25">
      <c r="A528" s="228" t="s">
        <v>1541</v>
      </c>
      <c r="C528" s="228" t="s">
        <v>1540</v>
      </c>
    </row>
    <row r="529" spans="1:3" x14ac:dyDescent="0.25">
      <c r="A529" s="228" t="s">
        <v>1513</v>
      </c>
      <c r="C529" s="228" t="s">
        <v>1512</v>
      </c>
    </row>
    <row r="530" spans="1:3" x14ac:dyDescent="0.25">
      <c r="A530" s="228" t="s">
        <v>1511</v>
      </c>
      <c r="C530" s="228" t="s">
        <v>1510</v>
      </c>
    </row>
    <row r="531" spans="1:3" x14ac:dyDescent="0.25">
      <c r="A531" s="228" t="s">
        <v>1511</v>
      </c>
      <c r="C531" s="228" t="s">
        <v>1510</v>
      </c>
    </row>
    <row r="532" spans="1:3" x14ac:dyDescent="0.25">
      <c r="A532" s="228" t="s">
        <v>1499</v>
      </c>
      <c r="C532" s="228" t="s">
        <v>1498</v>
      </c>
    </row>
    <row r="533" spans="1:3" x14ac:dyDescent="0.25">
      <c r="A533" s="228" t="s">
        <v>1531</v>
      </c>
      <c r="C533" s="228" t="s">
        <v>1530</v>
      </c>
    </row>
    <row r="534" spans="1:3" x14ac:dyDescent="0.25">
      <c r="A534" s="228" t="s">
        <v>1531</v>
      </c>
      <c r="C534" s="228" t="s">
        <v>1530</v>
      </c>
    </row>
    <row r="535" spans="1:3" x14ac:dyDescent="0.25">
      <c r="A535" s="228" t="s">
        <v>1545</v>
      </c>
      <c r="C535" s="228" t="s">
        <v>1544</v>
      </c>
    </row>
    <row r="536" spans="1:3" x14ac:dyDescent="0.25">
      <c r="A536" s="228" t="s">
        <v>1509</v>
      </c>
      <c r="C536" s="228" t="s">
        <v>1508</v>
      </c>
    </row>
    <row r="537" spans="1:3" x14ac:dyDescent="0.25">
      <c r="A537" s="228" t="s">
        <v>1539</v>
      </c>
      <c r="C537" s="228" t="s">
        <v>1538</v>
      </c>
    </row>
    <row r="538" spans="1:3" x14ac:dyDescent="0.25">
      <c r="A538" s="228" t="s">
        <v>1527</v>
      </c>
      <c r="C538" s="228" t="s">
        <v>1526</v>
      </c>
    </row>
    <row r="539" spans="1:3" x14ac:dyDescent="0.25">
      <c r="A539" s="228" t="s">
        <v>1537</v>
      </c>
      <c r="C539" s="228" t="s">
        <v>1536</v>
      </c>
    </row>
    <row r="540" spans="1:3" x14ac:dyDescent="0.25">
      <c r="A540" s="228" t="s">
        <v>1527</v>
      </c>
      <c r="C540" s="228" t="s">
        <v>1526</v>
      </c>
    </row>
    <row r="541" spans="1:3" x14ac:dyDescent="0.25">
      <c r="A541" s="228" t="s">
        <v>1545</v>
      </c>
      <c r="C541" s="228" t="s">
        <v>1544</v>
      </c>
    </row>
    <row r="542" spans="1:3" x14ac:dyDescent="0.25">
      <c r="A542" s="228" t="s">
        <v>1515</v>
      </c>
      <c r="C542" s="228" t="s">
        <v>1514</v>
      </c>
    </row>
    <row r="543" spans="1:3" x14ac:dyDescent="0.25">
      <c r="A543" s="228" t="s">
        <v>1535</v>
      </c>
      <c r="C543" s="228" t="s">
        <v>1534</v>
      </c>
    </row>
    <row r="544" spans="1:3" x14ac:dyDescent="0.25">
      <c r="A544" s="228" t="s">
        <v>1535</v>
      </c>
      <c r="C544" s="228" t="s">
        <v>1534</v>
      </c>
    </row>
    <row r="545" spans="1:3" x14ac:dyDescent="0.25">
      <c r="A545" s="228" t="s">
        <v>1533</v>
      </c>
      <c r="C545" s="228" t="s">
        <v>1532</v>
      </c>
    </row>
    <row r="546" spans="1:3" x14ac:dyDescent="0.25">
      <c r="A546" s="228" t="s">
        <v>1515</v>
      </c>
      <c r="C546" s="228" t="s">
        <v>1514</v>
      </c>
    </row>
    <row r="547" spans="1:3" x14ac:dyDescent="0.25">
      <c r="A547" s="228" t="s">
        <v>1513</v>
      </c>
      <c r="C547" s="228" t="s">
        <v>1512</v>
      </c>
    </row>
    <row r="548" spans="1:3" x14ac:dyDescent="0.25">
      <c r="A548" s="228" t="s">
        <v>1541</v>
      </c>
      <c r="C548" s="228" t="s">
        <v>1540</v>
      </c>
    </row>
    <row r="549" spans="1:3" x14ac:dyDescent="0.25">
      <c r="A549" s="228" t="s">
        <v>1535</v>
      </c>
      <c r="C549" s="228" t="s">
        <v>1534</v>
      </c>
    </row>
    <row r="550" spans="1:3" x14ac:dyDescent="0.25">
      <c r="A550" s="228" t="s">
        <v>1503</v>
      </c>
      <c r="C550" s="228" t="s">
        <v>1502</v>
      </c>
    </row>
    <row r="551" spans="1:3" x14ac:dyDescent="0.25">
      <c r="A551" s="228" t="s">
        <v>1539</v>
      </c>
      <c r="C551" s="228" t="s">
        <v>1538</v>
      </c>
    </row>
    <row r="552" spans="1:3" x14ac:dyDescent="0.25">
      <c r="A552" s="228" t="s">
        <v>1531</v>
      </c>
      <c r="C552" s="228" t="s">
        <v>1530</v>
      </c>
    </row>
    <row r="553" spans="1:3" x14ac:dyDescent="0.25">
      <c r="A553" s="228" t="s">
        <v>1507</v>
      </c>
      <c r="C553" s="228" t="s">
        <v>1506</v>
      </c>
    </row>
    <row r="554" spans="1:3" x14ac:dyDescent="0.25">
      <c r="A554" s="228" t="s">
        <v>1513</v>
      </c>
      <c r="C554" s="228" t="s">
        <v>1512</v>
      </c>
    </row>
    <row r="555" spans="1:3" x14ac:dyDescent="0.25">
      <c r="A555" s="228" t="s">
        <v>1531</v>
      </c>
      <c r="C555" s="228" t="s">
        <v>1530</v>
      </c>
    </row>
    <row r="556" spans="1:3" x14ac:dyDescent="0.25">
      <c r="A556" s="228" t="s">
        <v>1539</v>
      </c>
      <c r="C556" s="228" t="s">
        <v>1538</v>
      </c>
    </row>
    <row r="557" spans="1:3" x14ac:dyDescent="0.25">
      <c r="A557" s="228" t="s">
        <v>1533</v>
      </c>
      <c r="C557" s="228" t="s">
        <v>1532</v>
      </c>
    </row>
    <row r="558" spans="1:3" x14ac:dyDescent="0.25">
      <c r="A558" s="228" t="s">
        <v>1507</v>
      </c>
      <c r="C558" s="228" t="s">
        <v>1506</v>
      </c>
    </row>
    <row r="559" spans="1:3" x14ac:dyDescent="0.25">
      <c r="A559" s="228" t="s">
        <v>1543</v>
      </c>
      <c r="C559" s="228" t="s">
        <v>1542</v>
      </c>
    </row>
    <row r="560" spans="1:3" x14ac:dyDescent="0.25">
      <c r="A560" s="228" t="s">
        <v>1539</v>
      </c>
      <c r="C560" s="228" t="s">
        <v>1538</v>
      </c>
    </row>
    <row r="561" spans="1:3" x14ac:dyDescent="0.25">
      <c r="A561" s="228" t="s">
        <v>1509</v>
      </c>
      <c r="C561" s="228" t="s">
        <v>1508</v>
      </c>
    </row>
    <row r="562" spans="1:3" x14ac:dyDescent="0.25">
      <c r="A562" s="228" t="s">
        <v>1539</v>
      </c>
      <c r="C562" s="228" t="s">
        <v>1538</v>
      </c>
    </row>
    <row r="563" spans="1:3" x14ac:dyDescent="0.25">
      <c r="A563" s="228" t="s">
        <v>1509</v>
      </c>
      <c r="C563" s="228" t="s">
        <v>1508</v>
      </c>
    </row>
    <row r="564" spans="1:3" x14ac:dyDescent="0.25">
      <c r="A564" s="228" t="s">
        <v>1531</v>
      </c>
      <c r="C564" s="228" t="s">
        <v>1530</v>
      </c>
    </row>
    <row r="565" spans="1:3" x14ac:dyDescent="0.25">
      <c r="A565" s="228" t="s">
        <v>1511</v>
      </c>
      <c r="C565" s="228" t="s">
        <v>1510</v>
      </c>
    </row>
    <row r="566" spans="1:3" x14ac:dyDescent="0.25">
      <c r="A566" s="228" t="s">
        <v>1509</v>
      </c>
      <c r="C566" s="228" t="s">
        <v>1508</v>
      </c>
    </row>
    <row r="567" spans="1:3" x14ac:dyDescent="0.25">
      <c r="A567" s="228" t="s">
        <v>1533</v>
      </c>
      <c r="C567" s="228" t="s">
        <v>1532</v>
      </c>
    </row>
    <row r="568" spans="1:3" x14ac:dyDescent="0.25">
      <c r="A568" s="228" t="s">
        <v>1537</v>
      </c>
      <c r="C568" s="228" t="s">
        <v>1536</v>
      </c>
    </row>
    <row r="569" spans="1:3" x14ac:dyDescent="0.25">
      <c r="A569" s="228" t="s">
        <v>1537</v>
      </c>
      <c r="C569" s="228" t="s">
        <v>1536</v>
      </c>
    </row>
    <row r="570" spans="1:3" x14ac:dyDescent="0.25">
      <c r="A570" s="228" t="s">
        <v>1533</v>
      </c>
      <c r="C570" s="228" t="s">
        <v>1532</v>
      </c>
    </row>
    <row r="571" spans="1:3" x14ac:dyDescent="0.25">
      <c r="A571" s="228" t="s">
        <v>1531</v>
      </c>
      <c r="C571" s="228" t="s">
        <v>1530</v>
      </c>
    </row>
    <row r="572" spans="1:3" x14ac:dyDescent="0.25">
      <c r="A572" s="228" t="s">
        <v>1529</v>
      </c>
      <c r="C572" s="228" t="s">
        <v>1528</v>
      </c>
    </row>
    <row r="573" spans="1:3" x14ac:dyDescent="0.25">
      <c r="A573" s="228" t="s">
        <v>1503</v>
      </c>
      <c r="C573" s="228" t="s">
        <v>1502</v>
      </c>
    </row>
    <row r="574" spans="1:3" x14ac:dyDescent="0.25">
      <c r="A574" s="228" t="s">
        <v>1537</v>
      </c>
      <c r="C574" s="228" t="s">
        <v>1536</v>
      </c>
    </row>
    <row r="575" spans="1:3" x14ac:dyDescent="0.25">
      <c r="A575" s="228" t="s">
        <v>1537</v>
      </c>
      <c r="C575" s="228" t="s">
        <v>1536</v>
      </c>
    </row>
    <row r="576" spans="1:3" x14ac:dyDescent="0.25">
      <c r="A576" s="228" t="s">
        <v>1529</v>
      </c>
      <c r="C576" s="228" t="s">
        <v>1528</v>
      </c>
    </row>
    <row r="577" spans="1:3" x14ac:dyDescent="0.25">
      <c r="A577" s="228" t="s">
        <v>1517</v>
      </c>
      <c r="C577" s="228" t="s">
        <v>1516</v>
      </c>
    </row>
    <row r="578" spans="1:3" x14ac:dyDescent="0.25">
      <c r="A578" s="228" t="s">
        <v>1513</v>
      </c>
      <c r="C578" s="228" t="s">
        <v>1512</v>
      </c>
    </row>
    <row r="579" spans="1:3" x14ac:dyDescent="0.25">
      <c r="A579" s="228" t="s">
        <v>1505</v>
      </c>
      <c r="C579" s="228" t="s">
        <v>1504</v>
      </c>
    </row>
    <row r="580" spans="1:3" x14ac:dyDescent="0.25">
      <c r="A580" s="228" t="s">
        <v>1505</v>
      </c>
      <c r="C580" s="228" t="s">
        <v>1504</v>
      </c>
    </row>
    <row r="581" spans="1:3" x14ac:dyDescent="0.25">
      <c r="A581" s="228" t="s">
        <v>1545</v>
      </c>
      <c r="C581" s="228" t="s">
        <v>1544</v>
      </c>
    </row>
    <row r="582" spans="1:3" x14ac:dyDescent="0.25">
      <c r="A582" s="228" t="s">
        <v>1509</v>
      </c>
      <c r="C582" s="228" t="s">
        <v>1508</v>
      </c>
    </row>
    <row r="583" spans="1:3" x14ac:dyDescent="0.25">
      <c r="A583" s="228" t="s">
        <v>1521</v>
      </c>
      <c r="C583" s="228" t="s">
        <v>1520</v>
      </c>
    </row>
    <row r="584" spans="1:3" x14ac:dyDescent="0.25">
      <c r="A584" s="228" t="s">
        <v>1529</v>
      </c>
      <c r="C584" s="228" t="s">
        <v>1528</v>
      </c>
    </row>
    <row r="585" spans="1:3" x14ac:dyDescent="0.25">
      <c r="A585" s="228" t="s">
        <v>1543</v>
      </c>
      <c r="C585" s="228" t="s">
        <v>1542</v>
      </c>
    </row>
    <row r="586" spans="1:3" x14ac:dyDescent="0.25">
      <c r="A586" s="228" t="s">
        <v>1531</v>
      </c>
      <c r="C586" s="228" t="s">
        <v>1530</v>
      </c>
    </row>
    <row r="587" spans="1:3" x14ac:dyDescent="0.25">
      <c r="A587" s="228" t="s">
        <v>1529</v>
      </c>
      <c r="C587" s="228" t="s">
        <v>1528</v>
      </c>
    </row>
    <row r="588" spans="1:3" x14ac:dyDescent="0.25">
      <c r="A588" s="228" t="s">
        <v>1499</v>
      </c>
      <c r="C588" s="228" t="s">
        <v>1498</v>
      </c>
    </row>
    <row r="589" spans="1:3" x14ac:dyDescent="0.25">
      <c r="A589" s="228" t="s">
        <v>1501</v>
      </c>
      <c r="C589" s="228" t="s">
        <v>1500</v>
      </c>
    </row>
    <row r="590" spans="1:3" x14ac:dyDescent="0.25">
      <c r="A590" s="228" t="s">
        <v>1527</v>
      </c>
      <c r="C590" s="228" t="s">
        <v>1526</v>
      </c>
    </row>
    <row r="591" spans="1:3" x14ac:dyDescent="0.25">
      <c r="A591" s="228" t="s">
        <v>1519</v>
      </c>
      <c r="C591" s="228" t="s">
        <v>1518</v>
      </c>
    </row>
    <row r="592" spans="1:3" x14ac:dyDescent="0.25">
      <c r="A592" s="228" t="s">
        <v>1503</v>
      </c>
      <c r="C592" s="228" t="s">
        <v>1502</v>
      </c>
    </row>
    <row r="593" spans="1:3" x14ac:dyDescent="0.25">
      <c r="A593" s="228" t="s">
        <v>1529</v>
      </c>
      <c r="C593" s="228" t="s">
        <v>1528</v>
      </c>
    </row>
    <row r="594" spans="1:3" x14ac:dyDescent="0.25">
      <c r="A594" s="228" t="s">
        <v>1539</v>
      </c>
      <c r="C594" s="228" t="s">
        <v>1538</v>
      </c>
    </row>
    <row r="595" spans="1:3" x14ac:dyDescent="0.25">
      <c r="A595" s="228" t="s">
        <v>1543</v>
      </c>
      <c r="C595" s="228" t="s">
        <v>1542</v>
      </c>
    </row>
    <row r="596" spans="1:3" x14ac:dyDescent="0.25">
      <c r="A596" s="228" t="s">
        <v>1537</v>
      </c>
      <c r="C596" s="228" t="s">
        <v>1536</v>
      </c>
    </row>
    <row r="597" spans="1:3" x14ac:dyDescent="0.25">
      <c r="A597" s="228" t="s">
        <v>1503</v>
      </c>
      <c r="C597" s="228" t="s">
        <v>1502</v>
      </c>
    </row>
    <row r="598" spans="1:3" x14ac:dyDescent="0.25">
      <c r="A598" s="228" t="s">
        <v>1543</v>
      </c>
      <c r="C598" s="228" t="s">
        <v>1542</v>
      </c>
    </row>
    <row r="599" spans="1:3" x14ac:dyDescent="0.25">
      <c r="A599" s="228" t="s">
        <v>1519</v>
      </c>
      <c r="C599" s="228" t="s">
        <v>1518</v>
      </c>
    </row>
    <row r="600" spans="1:3" x14ac:dyDescent="0.25">
      <c r="A600" s="228" t="s">
        <v>1511</v>
      </c>
      <c r="C600" s="228" t="s">
        <v>1510</v>
      </c>
    </row>
    <row r="601" spans="1:3" x14ac:dyDescent="0.25">
      <c r="A601" s="228" t="s">
        <v>1531</v>
      </c>
      <c r="C601" s="228" t="s">
        <v>1530</v>
      </c>
    </row>
    <row r="602" spans="1:3" x14ac:dyDescent="0.25">
      <c r="A602" s="228" t="s">
        <v>1527</v>
      </c>
      <c r="C602" s="228" t="s">
        <v>1526</v>
      </c>
    </row>
    <row r="603" spans="1:3" x14ac:dyDescent="0.25">
      <c r="A603" s="228" t="s">
        <v>1507</v>
      </c>
      <c r="C603" s="228" t="s">
        <v>1506</v>
      </c>
    </row>
    <row r="604" spans="1:3" x14ac:dyDescent="0.25">
      <c r="A604" s="228" t="s">
        <v>1529</v>
      </c>
      <c r="C604" s="228" t="s">
        <v>1528</v>
      </c>
    </row>
    <row r="605" spans="1:3" x14ac:dyDescent="0.25">
      <c r="A605" s="228" t="s">
        <v>1517</v>
      </c>
      <c r="C605" s="228" t="s">
        <v>1516</v>
      </c>
    </row>
    <row r="606" spans="1:3" x14ac:dyDescent="0.25">
      <c r="A606" s="228" t="s">
        <v>1529</v>
      </c>
      <c r="C606" s="228" t="s">
        <v>1528</v>
      </c>
    </row>
    <row r="607" spans="1:3" x14ac:dyDescent="0.25">
      <c r="A607" s="228" t="s">
        <v>1539</v>
      </c>
      <c r="C607" s="228" t="s">
        <v>1538</v>
      </c>
    </row>
    <row r="608" spans="1:3" x14ac:dyDescent="0.25">
      <c r="A608" s="228" t="s">
        <v>1545</v>
      </c>
      <c r="C608" s="228" t="s">
        <v>1544</v>
      </c>
    </row>
    <row r="609" spans="1:3" x14ac:dyDescent="0.25">
      <c r="A609" s="228" t="s">
        <v>1511</v>
      </c>
      <c r="C609" s="228" t="s">
        <v>1510</v>
      </c>
    </row>
    <row r="610" spans="1:3" x14ac:dyDescent="0.25">
      <c r="A610" s="228" t="s">
        <v>1513</v>
      </c>
      <c r="C610" s="228" t="s">
        <v>1512</v>
      </c>
    </row>
    <row r="611" spans="1:3" x14ac:dyDescent="0.25">
      <c r="A611" s="228" t="s">
        <v>1515</v>
      </c>
      <c r="C611" s="228" t="s">
        <v>1514</v>
      </c>
    </row>
    <row r="612" spans="1:3" x14ac:dyDescent="0.25">
      <c r="A612" s="228" t="s">
        <v>1521</v>
      </c>
      <c r="C612" s="228" t="s">
        <v>1520</v>
      </c>
    </row>
    <row r="613" spans="1:3" x14ac:dyDescent="0.25">
      <c r="A613" s="228" t="s">
        <v>1539</v>
      </c>
      <c r="C613" s="228" t="s">
        <v>1538</v>
      </c>
    </row>
    <row r="614" spans="1:3" x14ac:dyDescent="0.25">
      <c r="A614" s="228" t="s">
        <v>1511</v>
      </c>
      <c r="C614" s="228" t="s">
        <v>1510</v>
      </c>
    </row>
    <row r="615" spans="1:3" x14ac:dyDescent="0.25">
      <c r="A615" s="228" t="s">
        <v>1521</v>
      </c>
      <c r="C615" s="228" t="s">
        <v>1520</v>
      </c>
    </row>
    <row r="616" spans="1:3" x14ac:dyDescent="0.25">
      <c r="A616" s="228" t="s">
        <v>1521</v>
      </c>
      <c r="C616" s="228" t="s">
        <v>1520</v>
      </c>
    </row>
    <row r="617" spans="1:3" x14ac:dyDescent="0.25">
      <c r="A617" s="228" t="s">
        <v>1525</v>
      </c>
      <c r="C617" s="228" t="s">
        <v>1524</v>
      </c>
    </row>
    <row r="618" spans="1:3" x14ac:dyDescent="0.25">
      <c r="A618" s="228" t="s">
        <v>1501</v>
      </c>
      <c r="C618" s="228" t="s">
        <v>1500</v>
      </c>
    </row>
    <row r="619" spans="1:3" x14ac:dyDescent="0.25">
      <c r="A619" s="228" t="s">
        <v>1527</v>
      </c>
      <c r="C619" s="228" t="s">
        <v>1526</v>
      </c>
    </row>
    <row r="620" spans="1:3" x14ac:dyDescent="0.25">
      <c r="A620" s="228" t="s">
        <v>1507</v>
      </c>
      <c r="C620" s="228" t="s">
        <v>1506</v>
      </c>
    </row>
    <row r="621" spans="1:3" x14ac:dyDescent="0.25">
      <c r="A621" s="228" t="s">
        <v>1535</v>
      </c>
      <c r="C621" s="228" t="s">
        <v>1534</v>
      </c>
    </row>
    <row r="622" spans="1:3" x14ac:dyDescent="0.25">
      <c r="A622" s="228" t="s">
        <v>1501</v>
      </c>
      <c r="C622" s="228" t="s">
        <v>1500</v>
      </c>
    </row>
    <row r="623" spans="1:3" x14ac:dyDescent="0.25">
      <c r="A623" s="228" t="s">
        <v>1509</v>
      </c>
      <c r="C623" s="228" t="s">
        <v>1508</v>
      </c>
    </row>
    <row r="624" spans="1:3" x14ac:dyDescent="0.25">
      <c r="A624" s="228" t="s">
        <v>1515</v>
      </c>
      <c r="C624" s="228" t="s">
        <v>1514</v>
      </c>
    </row>
    <row r="625" spans="1:3" x14ac:dyDescent="0.25">
      <c r="A625" s="228" t="s">
        <v>1507</v>
      </c>
      <c r="C625" s="228" t="s">
        <v>1506</v>
      </c>
    </row>
    <row r="626" spans="1:3" x14ac:dyDescent="0.25">
      <c r="A626" s="228" t="s">
        <v>1531</v>
      </c>
      <c r="C626" s="228" t="s">
        <v>1530</v>
      </c>
    </row>
    <row r="627" spans="1:3" x14ac:dyDescent="0.25">
      <c r="A627" s="228" t="s">
        <v>1511</v>
      </c>
      <c r="C627" s="228" t="s">
        <v>1510</v>
      </c>
    </row>
    <row r="628" spans="1:3" x14ac:dyDescent="0.25">
      <c r="A628" s="228" t="s">
        <v>1507</v>
      </c>
      <c r="C628" s="228" t="s">
        <v>1506</v>
      </c>
    </row>
    <row r="629" spans="1:3" x14ac:dyDescent="0.25">
      <c r="A629" s="228" t="s">
        <v>1543</v>
      </c>
      <c r="C629" s="228" t="s">
        <v>1542</v>
      </c>
    </row>
    <row r="630" spans="1:3" x14ac:dyDescent="0.25">
      <c r="A630" s="228" t="s">
        <v>1537</v>
      </c>
      <c r="C630" s="228" t="s">
        <v>1536</v>
      </c>
    </row>
    <row r="631" spans="1:3" x14ac:dyDescent="0.25">
      <c r="A631" s="228" t="s">
        <v>1519</v>
      </c>
      <c r="C631" s="228" t="s">
        <v>1518</v>
      </c>
    </row>
    <row r="632" spans="1:3" x14ac:dyDescent="0.25">
      <c r="A632" s="228" t="s">
        <v>1515</v>
      </c>
      <c r="C632" s="228" t="s">
        <v>1514</v>
      </c>
    </row>
    <row r="633" spans="1:3" x14ac:dyDescent="0.25">
      <c r="A633" s="228" t="s">
        <v>1517</v>
      </c>
      <c r="C633" s="228" t="s">
        <v>1516</v>
      </c>
    </row>
    <row r="634" spans="1:3" x14ac:dyDescent="0.25">
      <c r="A634" s="228" t="s">
        <v>1517</v>
      </c>
      <c r="C634" s="228" t="s">
        <v>1516</v>
      </c>
    </row>
    <row r="635" spans="1:3" x14ac:dyDescent="0.25">
      <c r="A635" s="228" t="s">
        <v>1509</v>
      </c>
      <c r="C635" s="228" t="s">
        <v>1508</v>
      </c>
    </row>
    <row r="636" spans="1:3" x14ac:dyDescent="0.25">
      <c r="A636" s="228" t="s">
        <v>1535</v>
      </c>
      <c r="C636" s="228" t="s">
        <v>1534</v>
      </c>
    </row>
    <row r="637" spans="1:3" x14ac:dyDescent="0.25">
      <c r="A637" s="228" t="s">
        <v>1545</v>
      </c>
      <c r="C637" s="228" t="s">
        <v>1544</v>
      </c>
    </row>
    <row r="638" spans="1:3" x14ac:dyDescent="0.25">
      <c r="A638" s="228" t="s">
        <v>1541</v>
      </c>
      <c r="C638" s="228" t="s">
        <v>1540</v>
      </c>
    </row>
    <row r="639" spans="1:3" x14ac:dyDescent="0.25">
      <c r="A639" s="228" t="s">
        <v>1531</v>
      </c>
      <c r="C639" s="228" t="s">
        <v>1530</v>
      </c>
    </row>
    <row r="640" spans="1:3" x14ac:dyDescent="0.25">
      <c r="A640" s="228" t="s">
        <v>1531</v>
      </c>
      <c r="C640" s="228" t="s">
        <v>1530</v>
      </c>
    </row>
    <row r="641" spans="1:3" x14ac:dyDescent="0.25">
      <c r="A641" s="228" t="s">
        <v>1533</v>
      </c>
      <c r="C641" s="228" t="s">
        <v>1532</v>
      </c>
    </row>
    <row r="642" spans="1:3" x14ac:dyDescent="0.25">
      <c r="A642" s="228" t="s">
        <v>1501</v>
      </c>
      <c r="C642" s="228" t="s">
        <v>1500</v>
      </c>
    </row>
    <row r="643" spans="1:3" x14ac:dyDescent="0.25">
      <c r="A643" s="228" t="s">
        <v>1517</v>
      </c>
      <c r="C643" s="228" t="s">
        <v>1516</v>
      </c>
    </row>
    <row r="644" spans="1:3" x14ac:dyDescent="0.25">
      <c r="A644" s="228" t="s">
        <v>1519</v>
      </c>
      <c r="C644" s="228" t="s">
        <v>1518</v>
      </c>
    </row>
    <row r="645" spans="1:3" x14ac:dyDescent="0.25">
      <c r="A645" s="228" t="s">
        <v>1541</v>
      </c>
      <c r="C645" s="228" t="s">
        <v>1540</v>
      </c>
    </row>
    <row r="646" spans="1:3" x14ac:dyDescent="0.25">
      <c r="A646" s="228" t="s">
        <v>1513</v>
      </c>
      <c r="C646" s="228" t="s">
        <v>1512</v>
      </c>
    </row>
    <row r="647" spans="1:3" x14ac:dyDescent="0.25">
      <c r="A647" s="228" t="s">
        <v>1529</v>
      </c>
      <c r="C647" s="228" t="s">
        <v>1528</v>
      </c>
    </row>
    <row r="648" spans="1:3" x14ac:dyDescent="0.25">
      <c r="A648" s="228" t="s">
        <v>1517</v>
      </c>
      <c r="C648" s="228" t="s">
        <v>1516</v>
      </c>
    </row>
    <row r="649" spans="1:3" x14ac:dyDescent="0.25">
      <c r="A649" s="228" t="s">
        <v>1525</v>
      </c>
      <c r="C649" s="228" t="s">
        <v>1524</v>
      </c>
    </row>
    <row r="650" spans="1:3" x14ac:dyDescent="0.25">
      <c r="A650" s="228" t="s">
        <v>1513</v>
      </c>
      <c r="C650" s="228" t="s">
        <v>1512</v>
      </c>
    </row>
    <row r="651" spans="1:3" x14ac:dyDescent="0.25">
      <c r="A651" s="228" t="s">
        <v>1519</v>
      </c>
      <c r="C651" s="228" t="s">
        <v>1518</v>
      </c>
    </row>
    <row r="652" spans="1:3" x14ac:dyDescent="0.25">
      <c r="A652" s="228" t="s">
        <v>1511</v>
      </c>
      <c r="C652" s="228" t="s">
        <v>1510</v>
      </c>
    </row>
    <row r="653" spans="1:3" x14ac:dyDescent="0.25">
      <c r="A653" s="228" t="s">
        <v>1535</v>
      </c>
      <c r="C653" s="228" t="s">
        <v>1534</v>
      </c>
    </row>
    <row r="654" spans="1:3" x14ac:dyDescent="0.25">
      <c r="A654" s="228" t="s">
        <v>1545</v>
      </c>
      <c r="C654" s="228" t="s">
        <v>1544</v>
      </c>
    </row>
    <row r="655" spans="1:3" x14ac:dyDescent="0.25">
      <c r="A655" s="228" t="s">
        <v>1543</v>
      </c>
      <c r="C655" s="228" t="s">
        <v>1542</v>
      </c>
    </row>
    <row r="656" spans="1:3" x14ac:dyDescent="0.25">
      <c r="A656" s="228" t="s">
        <v>1519</v>
      </c>
      <c r="C656" s="228" t="s">
        <v>1518</v>
      </c>
    </row>
    <row r="657" spans="1:3" x14ac:dyDescent="0.25">
      <c r="A657" s="228" t="s">
        <v>1531</v>
      </c>
      <c r="C657" s="228" t="s">
        <v>1530</v>
      </c>
    </row>
    <row r="658" spans="1:3" x14ac:dyDescent="0.25">
      <c r="A658" s="228" t="s">
        <v>1537</v>
      </c>
      <c r="C658" s="228" t="s">
        <v>1536</v>
      </c>
    </row>
    <row r="659" spans="1:3" x14ac:dyDescent="0.25">
      <c r="A659" s="228" t="s">
        <v>1535</v>
      </c>
      <c r="C659" s="228" t="s">
        <v>1534</v>
      </c>
    </row>
    <row r="660" spans="1:3" x14ac:dyDescent="0.25">
      <c r="A660" s="228" t="s">
        <v>1499</v>
      </c>
      <c r="C660" s="228" t="s">
        <v>1498</v>
      </c>
    </row>
    <row r="661" spans="1:3" x14ac:dyDescent="0.25">
      <c r="A661" s="228" t="s">
        <v>1517</v>
      </c>
      <c r="C661" s="228" t="s">
        <v>1516</v>
      </c>
    </row>
    <row r="662" spans="1:3" x14ac:dyDescent="0.25">
      <c r="A662" s="228" t="s">
        <v>1499</v>
      </c>
      <c r="C662" s="228" t="s">
        <v>1498</v>
      </c>
    </row>
    <row r="663" spans="1:3" x14ac:dyDescent="0.25">
      <c r="A663" s="228" t="s">
        <v>1519</v>
      </c>
      <c r="C663" s="228" t="s">
        <v>1518</v>
      </c>
    </row>
    <row r="664" spans="1:3" x14ac:dyDescent="0.25">
      <c r="A664" s="228" t="s">
        <v>1503</v>
      </c>
      <c r="C664" s="228" t="s">
        <v>1502</v>
      </c>
    </row>
    <row r="665" spans="1:3" x14ac:dyDescent="0.25">
      <c r="A665" s="228" t="s">
        <v>1515</v>
      </c>
      <c r="C665" s="228" t="s">
        <v>1514</v>
      </c>
    </row>
    <row r="666" spans="1:3" x14ac:dyDescent="0.25">
      <c r="A666" s="228" t="s">
        <v>1519</v>
      </c>
      <c r="C666" s="228" t="s">
        <v>1518</v>
      </c>
    </row>
    <row r="667" spans="1:3" x14ac:dyDescent="0.25">
      <c r="A667" s="228" t="s">
        <v>1525</v>
      </c>
      <c r="C667" s="228" t="s">
        <v>1524</v>
      </c>
    </row>
    <row r="668" spans="1:3" x14ac:dyDescent="0.25">
      <c r="A668" s="228" t="s">
        <v>1517</v>
      </c>
      <c r="C668" s="228" t="s">
        <v>1516</v>
      </c>
    </row>
    <row r="669" spans="1:3" x14ac:dyDescent="0.25">
      <c r="A669" s="228" t="s">
        <v>1517</v>
      </c>
      <c r="C669" s="228" t="s">
        <v>1516</v>
      </c>
    </row>
    <row r="670" spans="1:3" x14ac:dyDescent="0.25">
      <c r="A670" s="228" t="s">
        <v>1499</v>
      </c>
      <c r="C670" s="228" t="s">
        <v>1498</v>
      </c>
    </row>
    <row r="671" spans="1:3" x14ac:dyDescent="0.25">
      <c r="A671" s="228" t="s">
        <v>1529</v>
      </c>
      <c r="C671" s="228" t="s">
        <v>1528</v>
      </c>
    </row>
    <row r="672" spans="1:3" x14ac:dyDescent="0.25">
      <c r="A672" s="228" t="s">
        <v>1513</v>
      </c>
      <c r="C672" s="228" t="s">
        <v>1512</v>
      </c>
    </row>
    <row r="673" spans="1:3" x14ac:dyDescent="0.25">
      <c r="A673" s="228" t="s">
        <v>1509</v>
      </c>
      <c r="C673" s="228" t="s">
        <v>1508</v>
      </c>
    </row>
    <row r="674" spans="1:3" x14ac:dyDescent="0.25">
      <c r="A674" s="228" t="s">
        <v>1539</v>
      </c>
      <c r="C674" s="228" t="s">
        <v>1538</v>
      </c>
    </row>
    <row r="675" spans="1:3" x14ac:dyDescent="0.25">
      <c r="A675" s="228" t="s">
        <v>1507</v>
      </c>
      <c r="C675" s="228" t="s">
        <v>1506</v>
      </c>
    </row>
    <row r="676" spans="1:3" x14ac:dyDescent="0.25">
      <c r="A676" s="228" t="s">
        <v>1541</v>
      </c>
      <c r="C676" s="228" t="s">
        <v>1540</v>
      </c>
    </row>
    <row r="677" spans="1:3" x14ac:dyDescent="0.25">
      <c r="A677" s="228" t="s">
        <v>1537</v>
      </c>
      <c r="C677" s="228" t="s">
        <v>1536</v>
      </c>
    </row>
    <row r="678" spans="1:3" x14ac:dyDescent="0.25">
      <c r="A678" s="228" t="s">
        <v>1511</v>
      </c>
      <c r="C678" s="228" t="s">
        <v>1510</v>
      </c>
    </row>
    <row r="679" spans="1:3" x14ac:dyDescent="0.25">
      <c r="A679" s="228" t="s">
        <v>1523</v>
      </c>
      <c r="C679" s="228" t="s">
        <v>1522</v>
      </c>
    </row>
    <row r="680" spans="1:3" x14ac:dyDescent="0.25">
      <c r="A680" s="228" t="s">
        <v>1515</v>
      </c>
      <c r="C680" s="228" t="s">
        <v>1514</v>
      </c>
    </row>
    <row r="681" spans="1:3" x14ac:dyDescent="0.25">
      <c r="A681" s="228" t="s">
        <v>1519</v>
      </c>
      <c r="C681" s="228" t="s">
        <v>1518</v>
      </c>
    </row>
    <row r="682" spans="1:3" x14ac:dyDescent="0.25">
      <c r="A682" s="228" t="s">
        <v>1515</v>
      </c>
      <c r="C682" s="228" t="s">
        <v>1514</v>
      </c>
    </row>
    <row r="683" spans="1:3" x14ac:dyDescent="0.25">
      <c r="A683" s="228" t="s">
        <v>1531</v>
      </c>
      <c r="C683" s="228" t="s">
        <v>1530</v>
      </c>
    </row>
    <row r="684" spans="1:3" x14ac:dyDescent="0.25">
      <c r="A684" s="228" t="s">
        <v>1505</v>
      </c>
      <c r="C684" s="228" t="s">
        <v>1504</v>
      </c>
    </row>
    <row r="685" spans="1:3" x14ac:dyDescent="0.25">
      <c r="A685" s="228" t="s">
        <v>1521</v>
      </c>
      <c r="C685" s="228" t="s">
        <v>1520</v>
      </c>
    </row>
    <row r="686" spans="1:3" x14ac:dyDescent="0.25">
      <c r="A686" s="228" t="s">
        <v>1519</v>
      </c>
      <c r="C686" s="228" t="s">
        <v>1518</v>
      </c>
    </row>
    <row r="687" spans="1:3" x14ac:dyDescent="0.25">
      <c r="A687" s="228" t="s">
        <v>1521</v>
      </c>
      <c r="C687" s="228" t="s">
        <v>1520</v>
      </c>
    </row>
    <row r="688" spans="1:3" x14ac:dyDescent="0.25">
      <c r="A688" s="228" t="s">
        <v>1533</v>
      </c>
      <c r="C688" s="228" t="s">
        <v>1532</v>
      </c>
    </row>
    <row r="689" spans="1:3" x14ac:dyDescent="0.25">
      <c r="A689" s="228" t="s">
        <v>1513</v>
      </c>
      <c r="C689" s="228" t="s">
        <v>1512</v>
      </c>
    </row>
    <row r="690" spans="1:3" x14ac:dyDescent="0.25">
      <c r="A690" s="228" t="s">
        <v>1535</v>
      </c>
      <c r="C690" s="228" t="s">
        <v>1534</v>
      </c>
    </row>
    <row r="691" spans="1:3" x14ac:dyDescent="0.25">
      <c r="A691" s="228" t="s">
        <v>1513</v>
      </c>
      <c r="C691" s="228" t="s">
        <v>1512</v>
      </c>
    </row>
    <row r="692" spans="1:3" x14ac:dyDescent="0.25">
      <c r="A692" s="228" t="s">
        <v>1539</v>
      </c>
      <c r="C692" s="228" t="s">
        <v>1538</v>
      </c>
    </row>
    <row r="693" spans="1:3" x14ac:dyDescent="0.25">
      <c r="A693" s="228" t="s">
        <v>1515</v>
      </c>
      <c r="C693" s="228" t="s">
        <v>1514</v>
      </c>
    </row>
    <row r="694" spans="1:3" x14ac:dyDescent="0.25">
      <c r="A694" s="228" t="s">
        <v>1509</v>
      </c>
      <c r="C694" s="228" t="s">
        <v>1508</v>
      </c>
    </row>
    <row r="695" spans="1:3" x14ac:dyDescent="0.25">
      <c r="A695" s="228" t="s">
        <v>1535</v>
      </c>
      <c r="C695" s="228" t="s">
        <v>1534</v>
      </c>
    </row>
    <row r="696" spans="1:3" x14ac:dyDescent="0.25">
      <c r="A696" s="228" t="s">
        <v>1545</v>
      </c>
      <c r="C696" s="228" t="s">
        <v>1544</v>
      </c>
    </row>
    <row r="697" spans="1:3" x14ac:dyDescent="0.25">
      <c r="A697" s="228" t="s">
        <v>1543</v>
      </c>
      <c r="C697" s="228" t="s">
        <v>1542</v>
      </c>
    </row>
    <row r="698" spans="1:3" x14ac:dyDescent="0.25">
      <c r="A698" s="228" t="s">
        <v>1537</v>
      </c>
      <c r="C698" s="228" t="s">
        <v>1536</v>
      </c>
    </row>
    <row r="699" spans="1:3" x14ac:dyDescent="0.25">
      <c r="A699" s="228" t="s">
        <v>1535</v>
      </c>
      <c r="C699" s="228" t="s">
        <v>1534</v>
      </c>
    </row>
    <row r="700" spans="1:3" x14ac:dyDescent="0.25">
      <c r="A700" s="228" t="s">
        <v>1537</v>
      </c>
      <c r="C700" s="228" t="s">
        <v>1536</v>
      </c>
    </row>
    <row r="701" spans="1:3" x14ac:dyDescent="0.25">
      <c r="A701" s="228" t="s">
        <v>1511</v>
      </c>
      <c r="C701" s="228" t="s">
        <v>1510</v>
      </c>
    </row>
    <row r="702" spans="1:3" x14ac:dyDescent="0.25">
      <c r="A702" s="228" t="s">
        <v>1531</v>
      </c>
      <c r="C702" s="228" t="s">
        <v>1530</v>
      </c>
    </row>
    <row r="703" spans="1:3" x14ac:dyDescent="0.25">
      <c r="A703" s="228" t="s">
        <v>1535</v>
      </c>
      <c r="C703" s="228" t="s">
        <v>1534</v>
      </c>
    </row>
    <row r="704" spans="1:3" x14ac:dyDescent="0.25">
      <c r="A704" s="228" t="s">
        <v>1545</v>
      </c>
      <c r="C704" s="228" t="s">
        <v>1544</v>
      </c>
    </row>
    <row r="705" spans="1:3" x14ac:dyDescent="0.25">
      <c r="A705" s="228" t="s">
        <v>1507</v>
      </c>
      <c r="C705" s="228" t="s">
        <v>1506</v>
      </c>
    </row>
    <row r="706" spans="1:3" x14ac:dyDescent="0.25">
      <c r="A706" s="228" t="s">
        <v>1501</v>
      </c>
      <c r="C706" s="228" t="s">
        <v>1500</v>
      </c>
    </row>
    <row r="707" spans="1:3" x14ac:dyDescent="0.25">
      <c r="A707" s="228" t="s">
        <v>1509</v>
      </c>
      <c r="C707" s="228" t="s">
        <v>1508</v>
      </c>
    </row>
    <row r="708" spans="1:3" x14ac:dyDescent="0.25">
      <c r="A708" s="228" t="s">
        <v>1525</v>
      </c>
      <c r="C708" s="228" t="s">
        <v>1524</v>
      </c>
    </row>
    <row r="709" spans="1:3" x14ac:dyDescent="0.25">
      <c r="A709" s="228" t="s">
        <v>1527</v>
      </c>
      <c r="C709" s="228" t="s">
        <v>1526</v>
      </c>
    </row>
    <row r="710" spans="1:3" x14ac:dyDescent="0.25">
      <c r="A710" s="228" t="s">
        <v>1509</v>
      </c>
      <c r="C710" s="228" t="s">
        <v>1508</v>
      </c>
    </row>
    <row r="711" spans="1:3" x14ac:dyDescent="0.25">
      <c r="A711" s="228" t="s">
        <v>1539</v>
      </c>
      <c r="C711" s="228" t="s">
        <v>1538</v>
      </c>
    </row>
    <row r="712" spans="1:3" x14ac:dyDescent="0.25">
      <c r="A712" s="228" t="s">
        <v>1533</v>
      </c>
      <c r="C712" s="228" t="s">
        <v>1532</v>
      </c>
    </row>
    <row r="713" spans="1:3" x14ac:dyDescent="0.25">
      <c r="A713" s="228" t="s">
        <v>1499</v>
      </c>
      <c r="C713" s="228" t="s">
        <v>1498</v>
      </c>
    </row>
    <row r="714" spans="1:3" x14ac:dyDescent="0.25">
      <c r="A714" s="228" t="s">
        <v>1525</v>
      </c>
      <c r="C714" s="228" t="s">
        <v>1524</v>
      </c>
    </row>
    <row r="715" spans="1:3" x14ac:dyDescent="0.25">
      <c r="A715" s="228" t="s">
        <v>1541</v>
      </c>
      <c r="C715" s="228" t="s">
        <v>1540</v>
      </c>
    </row>
    <row r="716" spans="1:3" x14ac:dyDescent="0.25">
      <c r="A716" s="228" t="s">
        <v>1511</v>
      </c>
      <c r="C716" s="228" t="s">
        <v>1510</v>
      </c>
    </row>
    <row r="717" spans="1:3" x14ac:dyDescent="0.25">
      <c r="A717" s="228" t="s">
        <v>1531</v>
      </c>
      <c r="C717" s="228" t="s">
        <v>1530</v>
      </c>
    </row>
    <row r="718" spans="1:3" x14ac:dyDescent="0.25">
      <c r="A718" s="228" t="s">
        <v>1543</v>
      </c>
      <c r="C718" s="228" t="s">
        <v>1542</v>
      </c>
    </row>
    <row r="719" spans="1:3" x14ac:dyDescent="0.25">
      <c r="A719" s="228" t="s">
        <v>1535</v>
      </c>
      <c r="C719" s="228" t="s">
        <v>1534</v>
      </c>
    </row>
    <row r="720" spans="1:3" x14ac:dyDescent="0.25">
      <c r="A720" s="228" t="s">
        <v>1513</v>
      </c>
      <c r="C720" s="228" t="s">
        <v>1512</v>
      </c>
    </row>
    <row r="721" spans="1:3" x14ac:dyDescent="0.25">
      <c r="A721" s="228" t="s">
        <v>1525</v>
      </c>
      <c r="C721" s="228" t="s">
        <v>1524</v>
      </c>
    </row>
    <row r="722" spans="1:3" x14ac:dyDescent="0.25">
      <c r="A722" s="228" t="s">
        <v>1511</v>
      </c>
      <c r="C722" s="228" t="s">
        <v>1510</v>
      </c>
    </row>
    <row r="723" spans="1:3" x14ac:dyDescent="0.25">
      <c r="A723" s="228" t="s">
        <v>1537</v>
      </c>
      <c r="C723" s="228" t="s">
        <v>1536</v>
      </c>
    </row>
    <row r="724" spans="1:3" x14ac:dyDescent="0.25">
      <c r="A724" s="228" t="s">
        <v>1533</v>
      </c>
      <c r="C724" s="228" t="s">
        <v>1532</v>
      </c>
    </row>
    <row r="725" spans="1:3" x14ac:dyDescent="0.25">
      <c r="A725" s="228" t="s">
        <v>1543</v>
      </c>
      <c r="C725" s="228" t="s">
        <v>1542</v>
      </c>
    </row>
    <row r="726" spans="1:3" x14ac:dyDescent="0.25">
      <c r="A726" s="228" t="s">
        <v>1517</v>
      </c>
      <c r="C726" s="228" t="s">
        <v>1516</v>
      </c>
    </row>
    <row r="727" spans="1:3" x14ac:dyDescent="0.25">
      <c r="A727" s="228" t="s">
        <v>1511</v>
      </c>
      <c r="C727" s="228" t="s">
        <v>1510</v>
      </c>
    </row>
    <row r="728" spans="1:3" x14ac:dyDescent="0.25">
      <c r="A728" s="228" t="s">
        <v>1533</v>
      </c>
      <c r="C728" s="228" t="s">
        <v>1532</v>
      </c>
    </row>
    <row r="729" spans="1:3" x14ac:dyDescent="0.25">
      <c r="A729" s="228" t="s">
        <v>1525</v>
      </c>
      <c r="C729" s="228" t="s">
        <v>1524</v>
      </c>
    </row>
    <row r="730" spans="1:3" x14ac:dyDescent="0.25">
      <c r="A730" s="228" t="s">
        <v>1509</v>
      </c>
      <c r="C730" s="228" t="s">
        <v>1508</v>
      </c>
    </row>
    <row r="731" spans="1:3" x14ac:dyDescent="0.25">
      <c r="A731" s="228" t="s">
        <v>1519</v>
      </c>
      <c r="C731" s="228" t="s">
        <v>1518</v>
      </c>
    </row>
    <row r="732" spans="1:3" x14ac:dyDescent="0.25">
      <c r="A732" s="228" t="s">
        <v>1509</v>
      </c>
      <c r="C732" s="228" t="s">
        <v>1508</v>
      </c>
    </row>
    <row r="733" spans="1:3" x14ac:dyDescent="0.25">
      <c r="A733" s="228" t="s">
        <v>1545</v>
      </c>
      <c r="C733" s="228" t="s">
        <v>1544</v>
      </c>
    </row>
    <row r="734" spans="1:3" x14ac:dyDescent="0.25">
      <c r="A734" s="228" t="s">
        <v>1519</v>
      </c>
      <c r="C734" s="228" t="s">
        <v>1518</v>
      </c>
    </row>
    <row r="735" spans="1:3" x14ac:dyDescent="0.25">
      <c r="A735" s="228" t="s">
        <v>1525</v>
      </c>
      <c r="C735" s="228" t="s">
        <v>1524</v>
      </c>
    </row>
    <row r="736" spans="1:3" x14ac:dyDescent="0.25">
      <c r="A736" s="228" t="s">
        <v>1511</v>
      </c>
      <c r="C736" s="228" t="s">
        <v>1510</v>
      </c>
    </row>
    <row r="737" spans="1:3" x14ac:dyDescent="0.25">
      <c r="A737" s="228" t="s">
        <v>1539</v>
      </c>
      <c r="C737" s="228" t="s">
        <v>1538</v>
      </c>
    </row>
    <row r="738" spans="1:3" x14ac:dyDescent="0.25">
      <c r="A738" s="228" t="s">
        <v>1541</v>
      </c>
      <c r="C738" s="228" t="s">
        <v>1540</v>
      </c>
    </row>
    <row r="739" spans="1:3" x14ac:dyDescent="0.25">
      <c r="A739" s="228" t="s">
        <v>1517</v>
      </c>
      <c r="C739" s="228" t="s">
        <v>1516</v>
      </c>
    </row>
    <row r="740" spans="1:3" x14ac:dyDescent="0.25">
      <c r="A740" s="228" t="s">
        <v>1527</v>
      </c>
      <c r="C740" s="228" t="s">
        <v>1526</v>
      </c>
    </row>
    <row r="741" spans="1:3" x14ac:dyDescent="0.25">
      <c r="A741" s="228" t="s">
        <v>1531</v>
      </c>
      <c r="C741" s="228" t="s">
        <v>1530</v>
      </c>
    </row>
    <row r="742" spans="1:3" x14ac:dyDescent="0.25">
      <c r="A742" s="228" t="s">
        <v>1521</v>
      </c>
      <c r="C742" s="228" t="s">
        <v>1520</v>
      </c>
    </row>
    <row r="743" spans="1:3" x14ac:dyDescent="0.25">
      <c r="A743" s="228" t="s">
        <v>1537</v>
      </c>
      <c r="C743" s="228" t="s">
        <v>1536</v>
      </c>
    </row>
    <row r="744" spans="1:3" x14ac:dyDescent="0.25">
      <c r="A744" s="228" t="s">
        <v>1503</v>
      </c>
      <c r="C744" s="228" t="s">
        <v>1502</v>
      </c>
    </row>
    <row r="745" spans="1:3" x14ac:dyDescent="0.25">
      <c r="A745" s="228" t="s">
        <v>1535</v>
      </c>
      <c r="C745" s="228" t="s">
        <v>1534</v>
      </c>
    </row>
    <row r="746" spans="1:3" x14ac:dyDescent="0.25">
      <c r="A746" s="228" t="s">
        <v>1527</v>
      </c>
      <c r="C746" s="228" t="s">
        <v>1526</v>
      </c>
    </row>
    <row r="747" spans="1:3" x14ac:dyDescent="0.25">
      <c r="A747" s="228" t="s">
        <v>1539</v>
      </c>
      <c r="C747" s="228" t="s">
        <v>1538</v>
      </c>
    </row>
    <row r="748" spans="1:3" x14ac:dyDescent="0.25">
      <c r="A748" s="228" t="s">
        <v>1541</v>
      </c>
      <c r="C748" s="228" t="s">
        <v>1540</v>
      </c>
    </row>
    <row r="749" spans="1:3" x14ac:dyDescent="0.25">
      <c r="A749" s="228" t="s">
        <v>1523</v>
      </c>
      <c r="C749" s="228" t="s">
        <v>1522</v>
      </c>
    </row>
    <row r="750" spans="1:3" x14ac:dyDescent="0.25">
      <c r="A750" s="228" t="s">
        <v>1509</v>
      </c>
      <c r="C750" s="228" t="s">
        <v>1508</v>
      </c>
    </row>
    <row r="751" spans="1:3" x14ac:dyDescent="0.25">
      <c r="A751" s="228" t="s">
        <v>1525</v>
      </c>
      <c r="C751" s="228" t="s">
        <v>1524</v>
      </c>
    </row>
    <row r="752" spans="1:3" x14ac:dyDescent="0.25">
      <c r="A752" s="228" t="s">
        <v>1525</v>
      </c>
      <c r="C752" s="228" t="s">
        <v>1524</v>
      </c>
    </row>
    <row r="753" spans="1:3" x14ac:dyDescent="0.25">
      <c r="A753" s="228" t="s">
        <v>1505</v>
      </c>
      <c r="C753" s="228" t="s">
        <v>1504</v>
      </c>
    </row>
    <row r="754" spans="1:3" x14ac:dyDescent="0.25">
      <c r="A754" s="228" t="s">
        <v>1537</v>
      </c>
      <c r="C754" s="228" t="s">
        <v>1536</v>
      </c>
    </row>
    <row r="755" spans="1:3" x14ac:dyDescent="0.25">
      <c r="A755" s="228" t="s">
        <v>1511</v>
      </c>
      <c r="C755" s="228" t="s">
        <v>1510</v>
      </c>
    </row>
    <row r="756" spans="1:3" x14ac:dyDescent="0.25">
      <c r="A756" s="228" t="s">
        <v>1503</v>
      </c>
      <c r="C756" s="228" t="s">
        <v>1502</v>
      </c>
    </row>
    <row r="757" spans="1:3" x14ac:dyDescent="0.25">
      <c r="A757" s="228" t="s">
        <v>1517</v>
      </c>
      <c r="C757" s="228" t="s">
        <v>1516</v>
      </c>
    </row>
    <row r="758" spans="1:3" x14ac:dyDescent="0.25">
      <c r="A758" s="228" t="s">
        <v>1545</v>
      </c>
      <c r="C758" s="228" t="s">
        <v>1544</v>
      </c>
    </row>
    <row r="759" spans="1:3" x14ac:dyDescent="0.25">
      <c r="A759" s="228" t="s">
        <v>1509</v>
      </c>
      <c r="C759" s="228" t="s">
        <v>1508</v>
      </c>
    </row>
    <row r="760" spans="1:3" x14ac:dyDescent="0.25">
      <c r="A760" s="228" t="s">
        <v>1503</v>
      </c>
      <c r="C760" s="228" t="s">
        <v>1502</v>
      </c>
    </row>
    <row r="761" spans="1:3" x14ac:dyDescent="0.25">
      <c r="A761" s="228" t="s">
        <v>1513</v>
      </c>
      <c r="C761" s="228" t="s">
        <v>1512</v>
      </c>
    </row>
    <row r="762" spans="1:3" x14ac:dyDescent="0.25">
      <c r="A762" s="228" t="s">
        <v>1499</v>
      </c>
      <c r="C762" s="228" t="s">
        <v>1498</v>
      </c>
    </row>
    <row r="763" spans="1:3" x14ac:dyDescent="0.25">
      <c r="A763" s="228" t="s">
        <v>1541</v>
      </c>
      <c r="C763" s="228" t="s">
        <v>1540</v>
      </c>
    </row>
    <row r="764" spans="1:3" x14ac:dyDescent="0.25">
      <c r="A764" s="228" t="s">
        <v>1513</v>
      </c>
      <c r="C764" s="228" t="s">
        <v>1512</v>
      </c>
    </row>
    <row r="765" spans="1:3" x14ac:dyDescent="0.25">
      <c r="A765" s="228" t="s">
        <v>1535</v>
      </c>
      <c r="C765" s="228" t="s">
        <v>1534</v>
      </c>
    </row>
    <row r="766" spans="1:3" x14ac:dyDescent="0.25">
      <c r="A766" s="228" t="s">
        <v>1501</v>
      </c>
      <c r="C766" s="228" t="s">
        <v>1500</v>
      </c>
    </row>
    <row r="767" spans="1:3" x14ac:dyDescent="0.25">
      <c r="A767" s="228" t="s">
        <v>1499</v>
      </c>
      <c r="C767" s="228" t="s">
        <v>1498</v>
      </c>
    </row>
    <row r="768" spans="1:3" x14ac:dyDescent="0.25">
      <c r="A768" s="228" t="s">
        <v>1515</v>
      </c>
      <c r="C768" s="228" t="s">
        <v>1514</v>
      </c>
    </row>
    <row r="769" spans="1:3" x14ac:dyDescent="0.25">
      <c r="A769" s="228" t="s">
        <v>1513</v>
      </c>
      <c r="C769" s="228" t="s">
        <v>1512</v>
      </c>
    </row>
    <row r="770" spans="1:3" x14ac:dyDescent="0.25">
      <c r="A770" s="228" t="s">
        <v>1507</v>
      </c>
      <c r="C770" s="228" t="s">
        <v>1506</v>
      </c>
    </row>
    <row r="771" spans="1:3" x14ac:dyDescent="0.25">
      <c r="A771" s="228" t="s">
        <v>1521</v>
      </c>
      <c r="C771" s="228" t="s">
        <v>1520</v>
      </c>
    </row>
    <row r="772" spans="1:3" x14ac:dyDescent="0.25">
      <c r="A772" s="228" t="s">
        <v>1513</v>
      </c>
      <c r="C772" s="228" t="s">
        <v>1512</v>
      </c>
    </row>
    <row r="773" spans="1:3" x14ac:dyDescent="0.25">
      <c r="A773" s="228" t="s">
        <v>1515</v>
      </c>
      <c r="C773" s="228" t="s">
        <v>1514</v>
      </c>
    </row>
    <row r="774" spans="1:3" x14ac:dyDescent="0.25">
      <c r="A774" s="228" t="s">
        <v>1515</v>
      </c>
      <c r="C774" s="228" t="s">
        <v>1514</v>
      </c>
    </row>
    <row r="775" spans="1:3" x14ac:dyDescent="0.25">
      <c r="A775" s="228" t="s">
        <v>1515</v>
      </c>
      <c r="C775" s="228" t="s">
        <v>1514</v>
      </c>
    </row>
    <row r="776" spans="1:3" x14ac:dyDescent="0.25">
      <c r="A776" s="228" t="s">
        <v>1505</v>
      </c>
      <c r="C776" s="228" t="s">
        <v>1504</v>
      </c>
    </row>
    <row r="777" spans="1:3" x14ac:dyDescent="0.25">
      <c r="A777" s="228" t="s">
        <v>1513</v>
      </c>
      <c r="C777" s="228" t="s">
        <v>1512</v>
      </c>
    </row>
    <row r="778" spans="1:3" x14ac:dyDescent="0.25">
      <c r="A778" s="228" t="s">
        <v>1499</v>
      </c>
      <c r="C778" s="228" t="s">
        <v>1498</v>
      </c>
    </row>
    <row r="779" spans="1:3" x14ac:dyDescent="0.25">
      <c r="A779" s="228" t="s">
        <v>1517</v>
      </c>
      <c r="C779" s="228" t="s">
        <v>1516</v>
      </c>
    </row>
    <row r="780" spans="1:3" x14ac:dyDescent="0.25">
      <c r="A780" s="228" t="s">
        <v>1511</v>
      </c>
      <c r="C780" s="228" t="s">
        <v>1510</v>
      </c>
    </row>
    <row r="781" spans="1:3" x14ac:dyDescent="0.25">
      <c r="A781" s="228" t="s">
        <v>1539</v>
      </c>
      <c r="C781" s="228" t="s">
        <v>1538</v>
      </c>
    </row>
    <row r="782" spans="1:3" x14ac:dyDescent="0.25">
      <c r="A782" s="228" t="s">
        <v>1499</v>
      </c>
      <c r="C782" s="228" t="s">
        <v>1498</v>
      </c>
    </row>
    <row r="783" spans="1:3" x14ac:dyDescent="0.25">
      <c r="A783" s="228" t="s">
        <v>1503</v>
      </c>
      <c r="C783" s="228" t="s">
        <v>1502</v>
      </c>
    </row>
    <row r="784" spans="1:3" x14ac:dyDescent="0.25">
      <c r="A784" s="228" t="s">
        <v>1517</v>
      </c>
      <c r="C784" s="228" t="s">
        <v>1516</v>
      </c>
    </row>
    <row r="785" spans="1:3" x14ac:dyDescent="0.25">
      <c r="A785" s="228" t="s">
        <v>1505</v>
      </c>
      <c r="C785" s="228" t="s">
        <v>1504</v>
      </c>
    </row>
    <row r="786" spans="1:3" x14ac:dyDescent="0.25">
      <c r="A786" s="228" t="s">
        <v>1539</v>
      </c>
      <c r="C786" s="228" t="s">
        <v>1538</v>
      </c>
    </row>
    <row r="787" spans="1:3" x14ac:dyDescent="0.25">
      <c r="A787" s="228" t="s">
        <v>1505</v>
      </c>
      <c r="C787" s="228" t="s">
        <v>1504</v>
      </c>
    </row>
    <row r="788" spans="1:3" x14ac:dyDescent="0.25">
      <c r="A788" s="228" t="s">
        <v>1525</v>
      </c>
      <c r="C788" s="228" t="s">
        <v>1524</v>
      </c>
    </row>
    <row r="789" spans="1:3" x14ac:dyDescent="0.25">
      <c r="A789" s="228" t="s">
        <v>1541</v>
      </c>
      <c r="C789" s="228" t="s">
        <v>1540</v>
      </c>
    </row>
    <row r="790" spans="1:3" x14ac:dyDescent="0.25">
      <c r="A790" s="228" t="s">
        <v>1499</v>
      </c>
      <c r="C790" s="228" t="s">
        <v>1498</v>
      </c>
    </row>
    <row r="791" spans="1:3" x14ac:dyDescent="0.25">
      <c r="A791" s="228" t="s">
        <v>1505</v>
      </c>
      <c r="C791" s="228" t="s">
        <v>1504</v>
      </c>
    </row>
    <row r="792" spans="1:3" x14ac:dyDescent="0.25">
      <c r="A792" s="228" t="s">
        <v>1529</v>
      </c>
      <c r="C792" s="228" t="s">
        <v>1528</v>
      </c>
    </row>
    <row r="793" spans="1:3" x14ac:dyDescent="0.25">
      <c r="A793" s="228" t="s">
        <v>1543</v>
      </c>
      <c r="C793" s="228" t="s">
        <v>1542</v>
      </c>
    </row>
    <row r="794" spans="1:3" x14ac:dyDescent="0.25">
      <c r="A794" s="228" t="s">
        <v>1537</v>
      </c>
      <c r="C794" s="228" t="s">
        <v>1536</v>
      </c>
    </row>
    <row r="795" spans="1:3" x14ac:dyDescent="0.25">
      <c r="A795" s="228" t="s">
        <v>1543</v>
      </c>
      <c r="C795" s="228" t="s">
        <v>1542</v>
      </c>
    </row>
    <row r="796" spans="1:3" x14ac:dyDescent="0.25">
      <c r="A796" s="228" t="s">
        <v>1517</v>
      </c>
      <c r="C796" s="228" t="s">
        <v>1516</v>
      </c>
    </row>
    <row r="797" spans="1:3" x14ac:dyDescent="0.25">
      <c r="A797" s="228" t="s">
        <v>1499</v>
      </c>
      <c r="C797" s="228" t="s">
        <v>1498</v>
      </c>
    </row>
    <row r="798" spans="1:3" x14ac:dyDescent="0.25">
      <c r="A798" s="228" t="s">
        <v>1515</v>
      </c>
      <c r="C798" s="228" t="s">
        <v>1514</v>
      </c>
    </row>
    <row r="799" spans="1:3" x14ac:dyDescent="0.25">
      <c r="A799" s="228" t="s">
        <v>1529</v>
      </c>
      <c r="C799" s="228" t="s">
        <v>1528</v>
      </c>
    </row>
    <row r="800" spans="1:3" x14ac:dyDescent="0.25">
      <c r="A800" s="228" t="s">
        <v>1519</v>
      </c>
      <c r="C800" s="228" t="s">
        <v>1518</v>
      </c>
    </row>
    <row r="801" spans="1:3" x14ac:dyDescent="0.25">
      <c r="A801" s="228" t="s">
        <v>1519</v>
      </c>
      <c r="C801" s="228" t="s">
        <v>1518</v>
      </c>
    </row>
    <row r="802" spans="1:3" x14ac:dyDescent="0.25">
      <c r="A802" s="228" t="s">
        <v>1513</v>
      </c>
      <c r="C802" s="228" t="s">
        <v>1512</v>
      </c>
    </row>
    <row r="803" spans="1:3" x14ac:dyDescent="0.25">
      <c r="A803" s="228" t="s">
        <v>1529</v>
      </c>
      <c r="C803" s="228" t="s">
        <v>1528</v>
      </c>
    </row>
    <row r="804" spans="1:3" x14ac:dyDescent="0.25">
      <c r="A804" s="228" t="s">
        <v>1527</v>
      </c>
      <c r="C804" s="228" t="s">
        <v>1526</v>
      </c>
    </row>
    <row r="805" spans="1:3" x14ac:dyDescent="0.25">
      <c r="A805" s="228" t="s">
        <v>1519</v>
      </c>
      <c r="C805" s="228" t="s">
        <v>1518</v>
      </c>
    </row>
    <row r="806" spans="1:3" x14ac:dyDescent="0.25">
      <c r="A806" s="228" t="s">
        <v>1543</v>
      </c>
      <c r="C806" s="228" t="s">
        <v>1542</v>
      </c>
    </row>
    <row r="807" spans="1:3" x14ac:dyDescent="0.25">
      <c r="A807" s="228" t="s">
        <v>1515</v>
      </c>
      <c r="C807" s="228" t="s">
        <v>1514</v>
      </c>
    </row>
    <row r="808" spans="1:3" x14ac:dyDescent="0.25">
      <c r="A808" s="228" t="s">
        <v>1531</v>
      </c>
      <c r="C808" s="228" t="s">
        <v>1530</v>
      </c>
    </row>
    <row r="809" spans="1:3" x14ac:dyDescent="0.25">
      <c r="A809" s="228" t="s">
        <v>1525</v>
      </c>
      <c r="C809" s="228" t="s">
        <v>1524</v>
      </c>
    </row>
    <row r="810" spans="1:3" x14ac:dyDescent="0.25">
      <c r="A810" s="228" t="s">
        <v>1539</v>
      </c>
      <c r="C810" s="228" t="s">
        <v>1538</v>
      </c>
    </row>
    <row r="811" spans="1:3" x14ac:dyDescent="0.25">
      <c r="A811" s="228" t="s">
        <v>1531</v>
      </c>
      <c r="C811" s="228" t="s">
        <v>1530</v>
      </c>
    </row>
    <row r="812" spans="1:3" x14ac:dyDescent="0.25">
      <c r="A812" s="228" t="s">
        <v>1543</v>
      </c>
      <c r="C812" s="228" t="s">
        <v>1542</v>
      </c>
    </row>
    <row r="813" spans="1:3" x14ac:dyDescent="0.25">
      <c r="A813" s="228" t="s">
        <v>1501</v>
      </c>
      <c r="C813" s="228" t="s">
        <v>1500</v>
      </c>
    </row>
    <row r="814" spans="1:3" x14ac:dyDescent="0.25">
      <c r="A814" s="228" t="s">
        <v>1509</v>
      </c>
      <c r="C814" s="228" t="s">
        <v>1508</v>
      </c>
    </row>
    <row r="815" spans="1:3" x14ac:dyDescent="0.25">
      <c r="A815" s="228" t="s">
        <v>1521</v>
      </c>
      <c r="C815" s="228" t="s">
        <v>1520</v>
      </c>
    </row>
    <row r="816" spans="1:3" x14ac:dyDescent="0.25">
      <c r="A816" s="228" t="s">
        <v>1499</v>
      </c>
      <c r="C816" s="228" t="s">
        <v>1498</v>
      </c>
    </row>
    <row r="817" spans="1:3" x14ac:dyDescent="0.25">
      <c r="A817" s="228" t="s">
        <v>1545</v>
      </c>
      <c r="C817" s="228" t="s">
        <v>1544</v>
      </c>
    </row>
    <row r="818" spans="1:3" x14ac:dyDescent="0.25">
      <c r="A818" s="228" t="s">
        <v>1515</v>
      </c>
      <c r="C818" s="228" t="s">
        <v>1514</v>
      </c>
    </row>
    <row r="819" spans="1:3" x14ac:dyDescent="0.25">
      <c r="A819" s="228" t="s">
        <v>1513</v>
      </c>
      <c r="C819" s="228" t="s">
        <v>1512</v>
      </c>
    </row>
    <row r="820" spans="1:3" x14ac:dyDescent="0.25">
      <c r="A820" s="228" t="s">
        <v>1543</v>
      </c>
      <c r="C820" s="228" t="s">
        <v>1542</v>
      </c>
    </row>
    <row r="821" spans="1:3" x14ac:dyDescent="0.25">
      <c r="A821" s="228" t="s">
        <v>1505</v>
      </c>
      <c r="C821" s="228" t="s">
        <v>1504</v>
      </c>
    </row>
    <row r="822" spans="1:3" x14ac:dyDescent="0.25">
      <c r="A822" s="228" t="s">
        <v>1529</v>
      </c>
      <c r="C822" s="228" t="s">
        <v>1528</v>
      </c>
    </row>
    <row r="823" spans="1:3" x14ac:dyDescent="0.25">
      <c r="A823" s="228" t="s">
        <v>1525</v>
      </c>
      <c r="C823" s="228" t="s">
        <v>1524</v>
      </c>
    </row>
    <row r="824" spans="1:3" x14ac:dyDescent="0.25">
      <c r="A824" s="228" t="s">
        <v>1533</v>
      </c>
      <c r="C824" s="228" t="s">
        <v>1532</v>
      </c>
    </row>
    <row r="825" spans="1:3" x14ac:dyDescent="0.25">
      <c r="A825" s="228" t="s">
        <v>1501</v>
      </c>
      <c r="C825" s="228" t="s">
        <v>1500</v>
      </c>
    </row>
    <row r="826" spans="1:3" x14ac:dyDescent="0.25">
      <c r="A826" s="228" t="s">
        <v>1511</v>
      </c>
      <c r="C826" s="228" t="s">
        <v>1510</v>
      </c>
    </row>
    <row r="827" spans="1:3" x14ac:dyDescent="0.25">
      <c r="A827" s="228" t="s">
        <v>1515</v>
      </c>
      <c r="C827" s="228" t="s">
        <v>1514</v>
      </c>
    </row>
    <row r="828" spans="1:3" x14ac:dyDescent="0.25">
      <c r="A828" s="228" t="s">
        <v>1539</v>
      </c>
      <c r="C828" s="228" t="s">
        <v>1538</v>
      </c>
    </row>
    <row r="829" spans="1:3" x14ac:dyDescent="0.25">
      <c r="A829" s="228" t="s">
        <v>1503</v>
      </c>
      <c r="C829" s="228" t="s">
        <v>1502</v>
      </c>
    </row>
    <row r="830" spans="1:3" x14ac:dyDescent="0.25">
      <c r="A830" s="228" t="s">
        <v>1505</v>
      </c>
      <c r="C830" s="228" t="s">
        <v>1504</v>
      </c>
    </row>
    <row r="831" spans="1:3" x14ac:dyDescent="0.25">
      <c r="A831" s="228" t="s">
        <v>1537</v>
      </c>
      <c r="C831" s="228" t="s">
        <v>1536</v>
      </c>
    </row>
    <row r="832" spans="1:3" x14ac:dyDescent="0.25">
      <c r="A832" s="228" t="s">
        <v>1531</v>
      </c>
      <c r="C832" s="228" t="s">
        <v>1530</v>
      </c>
    </row>
    <row r="833" spans="1:3" x14ac:dyDescent="0.25">
      <c r="A833" s="228" t="s">
        <v>1509</v>
      </c>
      <c r="C833" s="228" t="s">
        <v>1508</v>
      </c>
    </row>
    <row r="834" spans="1:3" x14ac:dyDescent="0.25">
      <c r="A834" s="228" t="s">
        <v>1507</v>
      </c>
      <c r="C834" s="228" t="s">
        <v>1506</v>
      </c>
    </row>
    <row r="835" spans="1:3" x14ac:dyDescent="0.25">
      <c r="A835" s="228" t="s">
        <v>1543</v>
      </c>
      <c r="C835" s="228" t="s">
        <v>1542</v>
      </c>
    </row>
    <row r="836" spans="1:3" x14ac:dyDescent="0.25">
      <c r="A836" s="228" t="s">
        <v>1521</v>
      </c>
      <c r="C836" s="228" t="s">
        <v>1520</v>
      </c>
    </row>
    <row r="837" spans="1:3" x14ac:dyDescent="0.25">
      <c r="A837" s="228" t="s">
        <v>1509</v>
      </c>
      <c r="C837" s="228" t="s">
        <v>1508</v>
      </c>
    </row>
    <row r="838" spans="1:3" x14ac:dyDescent="0.25">
      <c r="A838" s="228" t="s">
        <v>1533</v>
      </c>
      <c r="C838" s="228" t="s">
        <v>1532</v>
      </c>
    </row>
    <row r="839" spans="1:3" x14ac:dyDescent="0.25">
      <c r="A839" s="228" t="s">
        <v>1519</v>
      </c>
      <c r="C839" s="228" t="s">
        <v>1518</v>
      </c>
    </row>
    <row r="840" spans="1:3" x14ac:dyDescent="0.25">
      <c r="A840" s="228" t="s">
        <v>1509</v>
      </c>
      <c r="C840" s="228" t="s">
        <v>1508</v>
      </c>
    </row>
    <row r="841" spans="1:3" x14ac:dyDescent="0.25">
      <c r="A841" s="228" t="s">
        <v>1513</v>
      </c>
      <c r="C841" s="228" t="s">
        <v>1512</v>
      </c>
    </row>
    <row r="842" spans="1:3" x14ac:dyDescent="0.25">
      <c r="A842" s="228" t="s">
        <v>1537</v>
      </c>
      <c r="C842" s="228" t="s">
        <v>1536</v>
      </c>
    </row>
    <row r="843" spans="1:3" x14ac:dyDescent="0.25">
      <c r="A843" s="228" t="s">
        <v>1511</v>
      </c>
      <c r="C843" s="228" t="s">
        <v>1510</v>
      </c>
    </row>
    <row r="844" spans="1:3" x14ac:dyDescent="0.25">
      <c r="A844" s="228" t="s">
        <v>1533</v>
      </c>
      <c r="C844" s="228" t="s">
        <v>1532</v>
      </c>
    </row>
    <row r="845" spans="1:3" x14ac:dyDescent="0.25">
      <c r="A845" s="228" t="s">
        <v>1517</v>
      </c>
      <c r="C845" s="228" t="s">
        <v>1516</v>
      </c>
    </row>
    <row r="846" spans="1:3" x14ac:dyDescent="0.25">
      <c r="A846" s="228" t="s">
        <v>1541</v>
      </c>
      <c r="C846" s="228" t="s">
        <v>1540</v>
      </c>
    </row>
    <row r="847" spans="1:3" x14ac:dyDescent="0.25">
      <c r="A847" s="228" t="s">
        <v>1539</v>
      </c>
      <c r="C847" s="228" t="s">
        <v>1538</v>
      </c>
    </row>
    <row r="848" spans="1:3" x14ac:dyDescent="0.25">
      <c r="A848" s="228" t="s">
        <v>1537</v>
      </c>
      <c r="C848" s="228" t="s">
        <v>1536</v>
      </c>
    </row>
    <row r="849" spans="1:3" x14ac:dyDescent="0.25">
      <c r="A849" s="228" t="s">
        <v>1537</v>
      </c>
      <c r="C849" s="228" t="s">
        <v>1536</v>
      </c>
    </row>
    <row r="850" spans="1:3" x14ac:dyDescent="0.25">
      <c r="A850" s="228" t="s">
        <v>1519</v>
      </c>
      <c r="C850" s="228" t="s">
        <v>1518</v>
      </c>
    </row>
    <row r="851" spans="1:3" x14ac:dyDescent="0.25">
      <c r="A851" s="228" t="s">
        <v>1501</v>
      </c>
      <c r="C851" s="228" t="s">
        <v>1500</v>
      </c>
    </row>
    <row r="852" spans="1:3" x14ac:dyDescent="0.25">
      <c r="A852" s="228" t="s">
        <v>1511</v>
      </c>
      <c r="C852" s="228" t="s">
        <v>1510</v>
      </c>
    </row>
    <row r="853" spans="1:3" x14ac:dyDescent="0.25">
      <c r="A853" s="228" t="s">
        <v>1523</v>
      </c>
      <c r="C853" s="228" t="s">
        <v>1522</v>
      </c>
    </row>
    <row r="854" spans="1:3" x14ac:dyDescent="0.25">
      <c r="A854" s="228" t="s">
        <v>1521</v>
      </c>
      <c r="C854" s="228" t="s">
        <v>1520</v>
      </c>
    </row>
    <row r="855" spans="1:3" x14ac:dyDescent="0.25">
      <c r="A855" s="228" t="s">
        <v>1531</v>
      </c>
      <c r="C855" s="228" t="s">
        <v>1530</v>
      </c>
    </row>
    <row r="856" spans="1:3" x14ac:dyDescent="0.25">
      <c r="A856" s="228" t="s">
        <v>1513</v>
      </c>
      <c r="C856" s="228" t="s">
        <v>1512</v>
      </c>
    </row>
    <row r="857" spans="1:3" x14ac:dyDescent="0.25">
      <c r="A857" s="228" t="s">
        <v>1499</v>
      </c>
      <c r="C857" s="228" t="s">
        <v>1498</v>
      </c>
    </row>
    <row r="858" spans="1:3" x14ac:dyDescent="0.25">
      <c r="A858" s="228" t="s">
        <v>1517</v>
      </c>
      <c r="C858" s="228" t="s">
        <v>1516</v>
      </c>
    </row>
    <row r="859" spans="1:3" x14ac:dyDescent="0.25">
      <c r="A859" s="228" t="s">
        <v>1505</v>
      </c>
      <c r="C859" s="228" t="s">
        <v>1504</v>
      </c>
    </row>
    <row r="860" spans="1:3" x14ac:dyDescent="0.25">
      <c r="A860" s="228" t="s">
        <v>1505</v>
      </c>
      <c r="C860" s="228" t="s">
        <v>1504</v>
      </c>
    </row>
    <row r="861" spans="1:3" x14ac:dyDescent="0.25">
      <c r="A861" s="228" t="s">
        <v>1537</v>
      </c>
      <c r="C861" s="228" t="s">
        <v>1536</v>
      </c>
    </row>
    <row r="862" spans="1:3" x14ac:dyDescent="0.25">
      <c r="A862" s="228" t="s">
        <v>1499</v>
      </c>
      <c r="C862" s="228" t="s">
        <v>1498</v>
      </c>
    </row>
    <row r="863" spans="1:3" x14ac:dyDescent="0.25">
      <c r="A863" s="228" t="s">
        <v>1503</v>
      </c>
      <c r="C863" s="228" t="s">
        <v>1502</v>
      </c>
    </row>
    <row r="864" spans="1:3" x14ac:dyDescent="0.25">
      <c r="A864" s="228" t="s">
        <v>1525</v>
      </c>
      <c r="C864" s="228" t="s">
        <v>1524</v>
      </c>
    </row>
    <row r="865" spans="1:3" x14ac:dyDescent="0.25">
      <c r="A865" s="228" t="s">
        <v>1535</v>
      </c>
      <c r="C865" s="228" t="s">
        <v>1534</v>
      </c>
    </row>
    <row r="866" spans="1:3" x14ac:dyDescent="0.25">
      <c r="A866" s="228" t="s">
        <v>1509</v>
      </c>
      <c r="C866" s="228" t="s">
        <v>1508</v>
      </c>
    </row>
    <row r="867" spans="1:3" x14ac:dyDescent="0.25">
      <c r="A867" s="228" t="s">
        <v>1535</v>
      </c>
      <c r="C867" s="228" t="s">
        <v>1534</v>
      </c>
    </row>
    <row r="868" spans="1:3" x14ac:dyDescent="0.25">
      <c r="A868" s="228" t="s">
        <v>1535</v>
      </c>
      <c r="C868" s="228" t="s">
        <v>1534</v>
      </c>
    </row>
    <row r="869" spans="1:3" x14ac:dyDescent="0.25">
      <c r="A869" s="228" t="s">
        <v>1525</v>
      </c>
      <c r="C869" s="228" t="s">
        <v>1524</v>
      </c>
    </row>
    <row r="870" spans="1:3" x14ac:dyDescent="0.25">
      <c r="A870" s="228" t="s">
        <v>1525</v>
      </c>
      <c r="C870" s="228" t="s">
        <v>1524</v>
      </c>
    </row>
    <row r="871" spans="1:3" x14ac:dyDescent="0.25">
      <c r="A871" s="228" t="s">
        <v>1517</v>
      </c>
      <c r="C871" s="228" t="s">
        <v>1516</v>
      </c>
    </row>
    <row r="872" spans="1:3" x14ac:dyDescent="0.25">
      <c r="A872" s="228" t="s">
        <v>1533</v>
      </c>
      <c r="C872" s="228" t="s">
        <v>1532</v>
      </c>
    </row>
    <row r="873" spans="1:3" x14ac:dyDescent="0.25">
      <c r="A873" s="228" t="s">
        <v>1515</v>
      </c>
      <c r="C873" s="228" t="s">
        <v>1514</v>
      </c>
    </row>
    <row r="874" spans="1:3" x14ac:dyDescent="0.25">
      <c r="A874" s="228" t="s">
        <v>1531</v>
      </c>
      <c r="C874" s="228" t="s">
        <v>1530</v>
      </c>
    </row>
    <row r="875" spans="1:3" x14ac:dyDescent="0.25">
      <c r="A875" s="228" t="s">
        <v>1509</v>
      </c>
      <c r="C875" s="228" t="s">
        <v>1508</v>
      </c>
    </row>
    <row r="876" spans="1:3" x14ac:dyDescent="0.25">
      <c r="A876" s="228" t="s">
        <v>1509</v>
      </c>
      <c r="C876" s="228" t="s">
        <v>1508</v>
      </c>
    </row>
    <row r="877" spans="1:3" x14ac:dyDescent="0.25">
      <c r="A877" s="228" t="s">
        <v>1527</v>
      </c>
      <c r="C877" s="228" t="s">
        <v>1526</v>
      </c>
    </row>
    <row r="878" spans="1:3" x14ac:dyDescent="0.25">
      <c r="A878" s="228" t="s">
        <v>1503</v>
      </c>
      <c r="C878" s="228" t="s">
        <v>1502</v>
      </c>
    </row>
    <row r="879" spans="1:3" x14ac:dyDescent="0.25">
      <c r="A879" s="228" t="s">
        <v>1529</v>
      </c>
      <c r="C879" s="228" t="s">
        <v>1528</v>
      </c>
    </row>
    <row r="880" spans="1:3" x14ac:dyDescent="0.25">
      <c r="A880" s="228" t="s">
        <v>1503</v>
      </c>
      <c r="C880" s="228" t="s">
        <v>1502</v>
      </c>
    </row>
    <row r="881" spans="1:3" x14ac:dyDescent="0.25">
      <c r="A881" s="228" t="s">
        <v>1501</v>
      </c>
      <c r="C881" s="228" t="s">
        <v>1500</v>
      </c>
    </row>
    <row r="882" spans="1:3" x14ac:dyDescent="0.25">
      <c r="A882" s="228" t="s">
        <v>1509</v>
      </c>
      <c r="C882" s="228" t="s">
        <v>1508</v>
      </c>
    </row>
    <row r="883" spans="1:3" x14ac:dyDescent="0.25">
      <c r="A883" s="228" t="s">
        <v>1507</v>
      </c>
      <c r="C883" s="228" t="s">
        <v>1506</v>
      </c>
    </row>
    <row r="884" spans="1:3" x14ac:dyDescent="0.25">
      <c r="A884" s="228" t="s">
        <v>1507</v>
      </c>
      <c r="C884" s="228" t="s">
        <v>1506</v>
      </c>
    </row>
    <row r="885" spans="1:3" x14ac:dyDescent="0.25">
      <c r="A885" s="228" t="s">
        <v>1523</v>
      </c>
      <c r="C885" s="228" t="s">
        <v>1522</v>
      </c>
    </row>
    <row r="886" spans="1:3" x14ac:dyDescent="0.25">
      <c r="A886" s="228" t="s">
        <v>1527</v>
      </c>
      <c r="C886" s="228" t="s">
        <v>1526</v>
      </c>
    </row>
    <row r="887" spans="1:3" x14ac:dyDescent="0.25">
      <c r="A887" s="228" t="s">
        <v>1519</v>
      </c>
      <c r="C887" s="228" t="s">
        <v>1518</v>
      </c>
    </row>
    <row r="888" spans="1:3" x14ac:dyDescent="0.25">
      <c r="A888" s="228" t="s">
        <v>1515</v>
      </c>
      <c r="C888" s="228" t="s">
        <v>1514</v>
      </c>
    </row>
    <row r="889" spans="1:3" x14ac:dyDescent="0.25">
      <c r="A889" s="228" t="s">
        <v>1513</v>
      </c>
      <c r="C889" s="228" t="s">
        <v>1512</v>
      </c>
    </row>
    <row r="890" spans="1:3" x14ac:dyDescent="0.25">
      <c r="A890" s="228" t="s">
        <v>1521</v>
      </c>
      <c r="C890" s="228" t="s">
        <v>1520</v>
      </c>
    </row>
    <row r="891" spans="1:3" x14ac:dyDescent="0.25">
      <c r="A891" s="228" t="s">
        <v>1509</v>
      </c>
      <c r="C891" s="228" t="s">
        <v>1508</v>
      </c>
    </row>
    <row r="892" spans="1:3" x14ac:dyDescent="0.25">
      <c r="A892" s="228" t="s">
        <v>1525</v>
      </c>
      <c r="C892" s="228" t="s">
        <v>1524</v>
      </c>
    </row>
    <row r="893" spans="1:3" x14ac:dyDescent="0.25">
      <c r="A893" s="228" t="s">
        <v>1505</v>
      </c>
      <c r="C893" s="228" t="s">
        <v>1504</v>
      </c>
    </row>
    <row r="894" spans="1:3" x14ac:dyDescent="0.25">
      <c r="A894" s="228" t="s">
        <v>1523</v>
      </c>
      <c r="C894" s="228" t="s">
        <v>1522</v>
      </c>
    </row>
    <row r="895" spans="1:3" x14ac:dyDescent="0.25">
      <c r="A895" s="228" t="s">
        <v>1511</v>
      </c>
      <c r="C895" s="228" t="s">
        <v>1510</v>
      </c>
    </row>
    <row r="896" spans="1:3" x14ac:dyDescent="0.25">
      <c r="A896" s="228" t="s">
        <v>1521</v>
      </c>
      <c r="C896" s="228" t="s">
        <v>1520</v>
      </c>
    </row>
    <row r="897" spans="1:3" x14ac:dyDescent="0.25">
      <c r="A897" s="228" t="s">
        <v>1519</v>
      </c>
      <c r="C897" s="228" t="s">
        <v>1518</v>
      </c>
    </row>
    <row r="898" spans="1:3" x14ac:dyDescent="0.25">
      <c r="A898" s="228" t="s">
        <v>1517</v>
      </c>
      <c r="C898" s="228" t="s">
        <v>1516</v>
      </c>
    </row>
    <row r="899" spans="1:3" x14ac:dyDescent="0.25">
      <c r="A899" s="228" t="s">
        <v>1515</v>
      </c>
      <c r="C899" s="228" t="s">
        <v>1514</v>
      </c>
    </row>
    <row r="900" spans="1:3" x14ac:dyDescent="0.25">
      <c r="A900" s="228" t="s">
        <v>1513</v>
      </c>
      <c r="C900" s="228" t="s">
        <v>1512</v>
      </c>
    </row>
    <row r="901" spans="1:3" x14ac:dyDescent="0.25">
      <c r="A901" s="228" t="s">
        <v>1507</v>
      </c>
      <c r="C901" s="228" t="s">
        <v>1506</v>
      </c>
    </row>
    <row r="902" spans="1:3" x14ac:dyDescent="0.25">
      <c r="A902" s="228" t="s">
        <v>1511</v>
      </c>
      <c r="C902" s="228" t="s">
        <v>1510</v>
      </c>
    </row>
    <row r="903" spans="1:3" x14ac:dyDescent="0.25">
      <c r="A903" s="228" t="s">
        <v>1509</v>
      </c>
      <c r="C903" s="228" t="s">
        <v>1508</v>
      </c>
    </row>
    <row r="904" spans="1:3" x14ac:dyDescent="0.25">
      <c r="A904" s="228" t="s">
        <v>1507</v>
      </c>
      <c r="C904" s="228" t="s">
        <v>1506</v>
      </c>
    </row>
    <row r="905" spans="1:3" x14ac:dyDescent="0.25">
      <c r="A905" s="228" t="s">
        <v>1501</v>
      </c>
      <c r="C905" s="228" t="s">
        <v>1500</v>
      </c>
    </row>
    <row r="906" spans="1:3" x14ac:dyDescent="0.25">
      <c r="A906" s="228" t="s">
        <v>1505</v>
      </c>
      <c r="C906" s="228" t="s">
        <v>1504</v>
      </c>
    </row>
    <row r="907" spans="1:3" x14ac:dyDescent="0.25">
      <c r="A907" s="228" t="s">
        <v>1503</v>
      </c>
      <c r="C907" s="228" t="s">
        <v>1502</v>
      </c>
    </row>
    <row r="908" spans="1:3" x14ac:dyDescent="0.25">
      <c r="A908" s="228" t="s">
        <v>1501</v>
      </c>
      <c r="C908" s="228" t="s">
        <v>1500</v>
      </c>
    </row>
    <row r="909" spans="1:3" x14ac:dyDescent="0.25">
      <c r="A909" s="228" t="s">
        <v>1501</v>
      </c>
      <c r="C909" s="228" t="s">
        <v>1500</v>
      </c>
    </row>
    <row r="910" spans="1:3" x14ac:dyDescent="0.25">
      <c r="A910" s="228" t="s">
        <v>1499</v>
      </c>
      <c r="C910" s="228" t="s">
        <v>1498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B1:E21"/>
  <sheetViews>
    <sheetView zoomScale="130" zoomScaleNormal="130" workbookViewId="0">
      <selection activeCell="B35" sqref="B35"/>
    </sheetView>
  </sheetViews>
  <sheetFormatPr defaultRowHeight="15" x14ac:dyDescent="0.25"/>
  <cols>
    <col min="1" max="1" width="9.140625" style="232"/>
    <col min="2" max="2" width="25.42578125" style="233" customWidth="1"/>
    <col min="3" max="4" width="9.140625" style="232"/>
    <col min="5" max="5" width="25.140625" style="233" customWidth="1"/>
    <col min="6" max="16384" width="9.140625" style="232"/>
  </cols>
  <sheetData>
    <row r="1" spans="2:5" x14ac:dyDescent="0.25">
      <c r="B1" s="234" t="s">
        <v>1599</v>
      </c>
      <c r="C1" s="235"/>
      <c r="D1" s="235"/>
      <c r="E1" s="234" t="s">
        <v>1599</v>
      </c>
    </row>
    <row r="2" spans="2:5" x14ac:dyDescent="0.25">
      <c r="B2" s="233" t="s">
        <v>1586</v>
      </c>
      <c r="E2" s="233" t="s">
        <v>1598</v>
      </c>
    </row>
    <row r="3" spans="2:5" x14ac:dyDescent="0.25">
      <c r="B3" s="233" t="s">
        <v>1597</v>
      </c>
      <c r="E3" s="233" t="s">
        <v>1596</v>
      </c>
    </row>
    <row r="4" spans="2:5" x14ac:dyDescent="0.25">
      <c r="B4" s="233" t="s">
        <v>1595</v>
      </c>
      <c r="E4" s="233" t="s">
        <v>1594</v>
      </c>
    </row>
    <row r="5" spans="2:5" x14ac:dyDescent="0.25">
      <c r="B5" s="233" t="s">
        <v>1593</v>
      </c>
      <c r="E5" s="233" t="s">
        <v>1592</v>
      </c>
    </row>
    <row r="6" spans="2:5" x14ac:dyDescent="0.25">
      <c r="B6" s="233" t="s">
        <v>1591</v>
      </c>
      <c r="E6" s="233" t="s">
        <v>1590</v>
      </c>
    </row>
    <row r="7" spans="2:5" x14ac:dyDescent="0.25">
      <c r="B7" s="233" t="s">
        <v>1589</v>
      </c>
      <c r="E7" s="233" t="s">
        <v>1588</v>
      </c>
    </row>
    <row r="8" spans="2:5" x14ac:dyDescent="0.25">
      <c r="B8" s="233" t="s">
        <v>1587</v>
      </c>
      <c r="E8" s="233" t="s">
        <v>1586</v>
      </c>
    </row>
    <row r="9" spans="2:5" x14ac:dyDescent="0.25">
      <c r="B9" s="233" t="s">
        <v>1585</v>
      </c>
      <c r="E9" s="233" t="s">
        <v>1584</v>
      </c>
    </row>
    <row r="10" spans="2:5" x14ac:dyDescent="0.25">
      <c r="B10" s="233" t="s">
        <v>1583</v>
      </c>
      <c r="E10" s="233" t="s">
        <v>1582</v>
      </c>
    </row>
    <row r="11" spans="2:5" x14ac:dyDescent="0.25">
      <c r="B11" s="233" t="s">
        <v>1581</v>
      </c>
      <c r="E11" s="233" t="s">
        <v>1580</v>
      </c>
    </row>
    <row r="12" spans="2:5" x14ac:dyDescent="0.25">
      <c r="B12" s="233" t="s">
        <v>1579</v>
      </c>
      <c r="E12" s="233" t="s">
        <v>1578</v>
      </c>
    </row>
    <row r="13" spans="2:5" x14ac:dyDescent="0.25">
      <c r="B13" s="233" t="s">
        <v>1577</v>
      </c>
      <c r="E13" s="233" t="s">
        <v>1576</v>
      </c>
    </row>
    <row r="14" spans="2:5" x14ac:dyDescent="0.25">
      <c r="B14" s="233" t="s">
        <v>1575</v>
      </c>
      <c r="E14" s="233" t="s">
        <v>1574</v>
      </c>
    </row>
    <row r="15" spans="2:5" x14ac:dyDescent="0.25">
      <c r="B15" s="233" t="s">
        <v>1573</v>
      </c>
      <c r="E15" s="233" t="s">
        <v>1572</v>
      </c>
    </row>
    <row r="16" spans="2:5" x14ac:dyDescent="0.25">
      <c r="B16" s="233" t="s">
        <v>1571</v>
      </c>
      <c r="E16" s="233" t="s">
        <v>1570</v>
      </c>
    </row>
    <row r="17" spans="2:5" x14ac:dyDescent="0.25">
      <c r="B17" s="233" t="s">
        <v>1569</v>
      </c>
      <c r="E17" s="233" t="s">
        <v>1568</v>
      </c>
    </row>
    <row r="18" spans="2:5" x14ac:dyDescent="0.25">
      <c r="B18" s="233" t="s">
        <v>1567</v>
      </c>
      <c r="E18" s="233" t="s">
        <v>1566</v>
      </c>
    </row>
    <row r="19" spans="2:5" x14ac:dyDescent="0.25">
      <c r="B19" s="233" t="s">
        <v>1565</v>
      </c>
      <c r="E19" s="233" t="s">
        <v>1564</v>
      </c>
    </row>
    <row r="20" spans="2:5" x14ac:dyDescent="0.25">
      <c r="B20" s="233" t="s">
        <v>1563</v>
      </c>
      <c r="E20" s="233" t="s">
        <v>1562</v>
      </c>
    </row>
    <row r="21" spans="2:5" x14ac:dyDescent="0.25">
      <c r="B21" s="233" t="s">
        <v>1561</v>
      </c>
      <c r="E21" s="233" t="s">
        <v>1560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H30"/>
  <sheetViews>
    <sheetView zoomScale="160" zoomScaleNormal="160" workbookViewId="0">
      <selection activeCell="B35" sqref="B35"/>
    </sheetView>
  </sheetViews>
  <sheetFormatPr defaultRowHeight="15" x14ac:dyDescent="0.25"/>
  <cols>
    <col min="1" max="1" width="12.85546875" style="236" bestFit="1" customWidth="1"/>
    <col min="2" max="2" width="14.140625" style="236" customWidth="1"/>
    <col min="3" max="3" width="9.140625" style="236"/>
    <col min="4" max="4" width="13.7109375" style="236" bestFit="1" customWidth="1"/>
    <col min="5" max="5" width="14.140625" style="228" customWidth="1"/>
    <col min="6" max="8" width="9.140625" style="236"/>
    <col min="9" max="16384" width="9.140625" style="228"/>
  </cols>
  <sheetData>
    <row r="1" spans="1:7" x14ac:dyDescent="0.25">
      <c r="A1" s="242" t="s">
        <v>1605</v>
      </c>
      <c r="B1" s="243" t="s">
        <v>1604</v>
      </c>
      <c r="D1" s="242" t="s">
        <v>1603</v>
      </c>
      <c r="E1" s="241" t="s">
        <v>1602</v>
      </c>
      <c r="F1" s="236" t="s">
        <v>1601</v>
      </c>
      <c r="G1" s="240" t="s">
        <v>1600</v>
      </c>
    </row>
    <row r="2" spans="1:7" x14ac:dyDescent="0.25">
      <c r="A2" s="237">
        <v>2.5</v>
      </c>
      <c r="B2" s="239">
        <f t="shared" ref="B2:B30" si="0">A2*8/24</f>
        <v>0.83333333333333337</v>
      </c>
      <c r="D2" s="238">
        <v>0.33333333333333331</v>
      </c>
      <c r="E2" s="237">
        <v>30</v>
      </c>
      <c r="F2" s="236">
        <f>D2*E2</f>
        <v>10</v>
      </c>
      <c r="G2" s="236">
        <f>D2*E2*24</f>
        <v>240</v>
      </c>
    </row>
    <row r="3" spans="1:7" x14ac:dyDescent="0.25">
      <c r="A3" s="237">
        <v>1.5</v>
      </c>
      <c r="B3" s="239">
        <f t="shared" si="0"/>
        <v>0.5</v>
      </c>
      <c r="D3" s="238">
        <v>0.10416666666666667</v>
      </c>
      <c r="E3" s="237">
        <v>40</v>
      </c>
    </row>
    <row r="4" spans="1:7" x14ac:dyDescent="0.25">
      <c r="A4" s="237">
        <v>1.2</v>
      </c>
      <c r="B4" s="239">
        <f t="shared" si="0"/>
        <v>0.39999999999999997</v>
      </c>
      <c r="D4" s="238">
        <v>1.0416666666666666E-2</v>
      </c>
      <c r="E4" s="237">
        <v>29.75</v>
      </c>
    </row>
    <row r="5" spans="1:7" x14ac:dyDescent="0.25">
      <c r="A5" s="237">
        <v>8.1999999999999993</v>
      </c>
      <c r="B5" s="239">
        <f t="shared" si="0"/>
        <v>2.7333333333333329</v>
      </c>
      <c r="D5" s="238">
        <v>0.125</v>
      </c>
      <c r="E5" s="237">
        <v>40</v>
      </c>
    </row>
    <row r="6" spans="1:7" x14ac:dyDescent="0.25">
      <c r="A6" s="237">
        <v>7.25</v>
      </c>
      <c r="B6" s="239">
        <f t="shared" si="0"/>
        <v>2.4166666666666665</v>
      </c>
      <c r="D6" s="238">
        <v>0.5083333333333333</v>
      </c>
      <c r="E6" s="237">
        <v>40.25</v>
      </c>
    </row>
    <row r="7" spans="1:7" x14ac:dyDescent="0.25">
      <c r="A7" s="237">
        <v>8</v>
      </c>
      <c r="B7" s="239">
        <f t="shared" si="0"/>
        <v>2.6666666666666665</v>
      </c>
      <c r="D7" s="238">
        <v>0.25</v>
      </c>
      <c r="E7" s="237">
        <v>45.88</v>
      </c>
    </row>
    <row r="8" spans="1:7" x14ac:dyDescent="0.25">
      <c r="A8" s="237">
        <v>3.6</v>
      </c>
      <c r="B8" s="239">
        <f t="shared" si="0"/>
        <v>1.2</v>
      </c>
      <c r="D8" s="238">
        <v>0.37916666666666665</v>
      </c>
      <c r="E8" s="237">
        <v>32</v>
      </c>
    </row>
    <row r="9" spans="1:7" x14ac:dyDescent="0.25">
      <c r="A9" s="237">
        <v>2</v>
      </c>
      <c r="B9" s="239">
        <f t="shared" si="0"/>
        <v>0.66666666666666663</v>
      </c>
      <c r="D9" s="238">
        <v>0.23958333333333334</v>
      </c>
      <c r="E9" s="237">
        <v>26.88</v>
      </c>
    </row>
    <row r="10" spans="1:7" x14ac:dyDescent="0.25">
      <c r="A10" s="237">
        <v>6</v>
      </c>
      <c r="B10" s="239">
        <f t="shared" si="0"/>
        <v>2</v>
      </c>
      <c r="D10" s="238">
        <v>0.5</v>
      </c>
      <c r="E10" s="237">
        <v>34.630000000000003</v>
      </c>
    </row>
    <row r="11" spans="1:7" x14ac:dyDescent="0.25">
      <c r="A11" s="237">
        <v>9.5</v>
      </c>
      <c r="B11" s="239">
        <f t="shared" si="0"/>
        <v>3.1666666666666665</v>
      </c>
      <c r="D11" s="238">
        <v>0.15833333333333333</v>
      </c>
      <c r="E11" s="237">
        <v>32.25</v>
      </c>
    </row>
    <row r="12" spans="1:7" x14ac:dyDescent="0.25">
      <c r="A12" s="237">
        <v>7</v>
      </c>
      <c r="B12" s="239">
        <f t="shared" si="0"/>
        <v>2.3333333333333335</v>
      </c>
      <c r="D12" s="238">
        <v>5.2083333333333336E-2</v>
      </c>
      <c r="E12" s="237">
        <v>44.25</v>
      </c>
    </row>
    <row r="13" spans="1:7" x14ac:dyDescent="0.25">
      <c r="A13" s="237">
        <v>8.75</v>
      </c>
      <c r="B13" s="239">
        <f t="shared" si="0"/>
        <v>2.9166666666666665</v>
      </c>
      <c r="D13" s="238">
        <v>1.0416666666666666E-2</v>
      </c>
      <c r="E13" s="237">
        <v>35.130000000000003</v>
      </c>
    </row>
    <row r="14" spans="1:7" x14ac:dyDescent="0.25">
      <c r="A14" s="237">
        <v>8.25</v>
      </c>
      <c r="B14" s="239">
        <f t="shared" si="0"/>
        <v>2.75</v>
      </c>
      <c r="D14" s="238">
        <v>0.23958333333333334</v>
      </c>
      <c r="E14" s="237">
        <v>26</v>
      </c>
    </row>
    <row r="15" spans="1:7" x14ac:dyDescent="0.25">
      <c r="A15" s="237">
        <v>1.25</v>
      </c>
      <c r="B15" s="239">
        <f t="shared" si="0"/>
        <v>0.41666666666666669</v>
      </c>
      <c r="D15" s="238">
        <v>0.26041666666666669</v>
      </c>
      <c r="E15" s="237">
        <v>29.38</v>
      </c>
    </row>
    <row r="16" spans="1:7" x14ac:dyDescent="0.25">
      <c r="A16" s="237">
        <v>4.75</v>
      </c>
      <c r="B16" s="239">
        <f t="shared" si="0"/>
        <v>1.5833333333333333</v>
      </c>
      <c r="D16" s="238">
        <v>5.2083333333333336E-2</v>
      </c>
      <c r="E16" s="237">
        <v>49.63</v>
      </c>
    </row>
    <row r="17" spans="1:5" x14ac:dyDescent="0.25">
      <c r="A17" s="237">
        <v>1.75</v>
      </c>
      <c r="B17" s="239">
        <f t="shared" si="0"/>
        <v>0.58333333333333337</v>
      </c>
      <c r="D17" s="238">
        <v>9.375E-2</v>
      </c>
      <c r="E17" s="237">
        <v>43.5</v>
      </c>
    </row>
    <row r="18" spans="1:5" x14ac:dyDescent="0.25">
      <c r="A18" s="237">
        <v>9.25</v>
      </c>
      <c r="B18" s="239">
        <f t="shared" si="0"/>
        <v>3.0833333333333335</v>
      </c>
      <c r="D18" s="238">
        <v>0.20833333333333334</v>
      </c>
      <c r="E18" s="237">
        <v>39.5</v>
      </c>
    </row>
    <row r="19" spans="1:5" x14ac:dyDescent="0.25">
      <c r="A19" s="237">
        <v>2</v>
      </c>
      <c r="B19" s="239">
        <f t="shared" si="0"/>
        <v>0.66666666666666663</v>
      </c>
      <c r="D19" s="238">
        <v>0.10416666666666667</v>
      </c>
      <c r="E19" s="237">
        <v>26.75</v>
      </c>
    </row>
    <row r="20" spans="1:5" x14ac:dyDescent="0.25">
      <c r="A20" s="237">
        <v>8</v>
      </c>
      <c r="B20" s="239">
        <f t="shared" si="0"/>
        <v>2.6666666666666665</v>
      </c>
      <c r="D20" s="238">
        <v>9.375E-2</v>
      </c>
      <c r="E20" s="237">
        <v>35.630000000000003</v>
      </c>
    </row>
    <row r="21" spans="1:5" x14ac:dyDescent="0.25">
      <c r="A21" s="237">
        <v>4.5</v>
      </c>
      <c r="B21" s="239">
        <f t="shared" si="0"/>
        <v>1.5</v>
      </c>
      <c r="D21" s="238">
        <v>8.3333333333333329E-2</v>
      </c>
      <c r="E21" s="237">
        <v>39.5</v>
      </c>
    </row>
    <row r="22" spans="1:5" x14ac:dyDescent="0.25">
      <c r="A22" s="237">
        <v>9.5</v>
      </c>
      <c r="B22" s="239">
        <f t="shared" si="0"/>
        <v>3.1666666666666665</v>
      </c>
      <c r="D22" s="238">
        <v>0.15625</v>
      </c>
      <c r="E22" s="237">
        <v>42.75</v>
      </c>
    </row>
    <row r="23" spans="1:5" x14ac:dyDescent="0.25">
      <c r="A23" s="237">
        <v>9.5</v>
      </c>
      <c r="B23" s="239">
        <f t="shared" si="0"/>
        <v>3.1666666666666665</v>
      </c>
      <c r="D23" s="238">
        <v>0.39583333333333331</v>
      </c>
      <c r="E23" s="237">
        <v>26.5</v>
      </c>
    </row>
    <row r="24" spans="1:5" x14ac:dyDescent="0.25">
      <c r="A24" s="237">
        <v>7.5</v>
      </c>
      <c r="B24" s="239">
        <f t="shared" si="0"/>
        <v>2.5</v>
      </c>
      <c r="D24" s="238">
        <v>0.19791666666666666</v>
      </c>
      <c r="E24" s="237">
        <v>33.130000000000003</v>
      </c>
    </row>
    <row r="25" spans="1:5" x14ac:dyDescent="0.25">
      <c r="A25" s="237">
        <v>3.25</v>
      </c>
      <c r="B25" s="239">
        <f t="shared" si="0"/>
        <v>1.0833333333333333</v>
      </c>
      <c r="D25" s="238">
        <v>0.35416666666666669</v>
      </c>
      <c r="E25" s="237">
        <v>34.25</v>
      </c>
    </row>
    <row r="26" spans="1:5" x14ac:dyDescent="0.25">
      <c r="A26" s="237">
        <v>5</v>
      </c>
      <c r="B26" s="239">
        <f t="shared" si="0"/>
        <v>1.6666666666666667</v>
      </c>
      <c r="D26" s="238">
        <v>0.10416666666666667</v>
      </c>
      <c r="E26" s="237">
        <v>37.630000000000003</v>
      </c>
    </row>
    <row r="27" spans="1:5" x14ac:dyDescent="0.25">
      <c r="A27" s="237">
        <v>2.5</v>
      </c>
      <c r="B27" s="239">
        <f t="shared" si="0"/>
        <v>0.83333333333333337</v>
      </c>
      <c r="D27" s="238">
        <v>0.51041666666666663</v>
      </c>
      <c r="E27" s="237">
        <v>29.88</v>
      </c>
    </row>
    <row r="28" spans="1:5" x14ac:dyDescent="0.25">
      <c r="A28" s="237">
        <v>10</v>
      </c>
      <c r="B28" s="239">
        <f t="shared" si="0"/>
        <v>3.3333333333333335</v>
      </c>
      <c r="D28" s="238">
        <v>4.1666666666666664E-2</v>
      </c>
      <c r="E28" s="237">
        <v>49.5</v>
      </c>
    </row>
    <row r="29" spans="1:5" x14ac:dyDescent="0.25">
      <c r="A29" s="237">
        <v>5.25</v>
      </c>
      <c r="B29" s="239">
        <f t="shared" si="0"/>
        <v>1.75</v>
      </c>
      <c r="D29" s="238">
        <v>0.26041666666666669</v>
      </c>
      <c r="E29" s="237">
        <v>27.25</v>
      </c>
    </row>
    <row r="30" spans="1:5" x14ac:dyDescent="0.25">
      <c r="A30" s="237">
        <v>1</v>
      </c>
      <c r="B30" s="239">
        <f t="shared" si="0"/>
        <v>0.33333333333333331</v>
      </c>
      <c r="D30" s="238">
        <v>0.33333333333333331</v>
      </c>
      <c r="E30" s="237">
        <v>36.880000000000003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TOC</vt:lpstr>
      <vt:lpstr>1</vt:lpstr>
      <vt:lpstr>2</vt:lpstr>
      <vt:lpstr>3</vt:lpstr>
      <vt:lpstr>4</vt:lpstr>
      <vt:lpstr>5</vt:lpstr>
      <vt:lpstr>6</vt:lpstr>
      <vt:lpstr>7</vt:lpstr>
      <vt:lpstr>8</vt:lpstr>
      <vt:lpstr>9</vt:lpstr>
      <vt:lpstr>10</vt:lpstr>
      <vt:lpstr>11</vt:lpstr>
      <vt:lpstr>11S</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dc:creator>
  <cp:lastModifiedBy>Billy</cp:lastModifiedBy>
  <dcterms:created xsi:type="dcterms:W3CDTF">2016-04-26T20:55:18Z</dcterms:created>
  <dcterms:modified xsi:type="dcterms:W3CDTF">2016-11-16T19:03:48Z</dcterms:modified>
</cp:coreProperties>
</file>